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wmf" ContentType="image/x-wmf"/>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ctrProps/ctrProp4.xml" ContentType="application/vnd.ms-excel.controlproperties+xml"/>
  <Override PartName="/xl/ctrProps/ctrProp5.xml" ContentType="application/vnd.ms-excel.controlproperties+xml"/>
  <Override PartName="/xl/ctrProps/ctrProp6.xml" ContentType="application/vnd.ms-excel.controlproperties+xml"/>
  <Override PartName="/xl/ctrProps/ctrProp7.xml" ContentType="application/vnd.ms-excel.controlproperties+xml"/>
  <Override PartName="/xl/ctrProps/ctrProp8.xml" ContentType="application/vnd.ms-excel.controlproperties+xml"/>
  <Override PartName="/xl/drawings/drawing4.xml" ContentType="application/vnd.openxmlformats-officedocument.drawing+xml"/>
  <Default Extension="vml" ContentType="application/vnd.openxmlformats-officedocument.vmlDrawing"/>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231"/>
  <workbookPr codeName="ThisWorkbook" filterPrivacy="1" defaultThemeVersion="124226"/>
  <mc:AlternateContent xmlns:mc="http://schemas.openxmlformats.org/markup-compatibility/2006">
    <mc:Choice Requires="x15">
      <x15ac:absPath xmlns:x15ac="http://schemas.microsoft.com/office/spreadsheetml/2010/11/ac" url="C:\Users\ctavener\AppData\Local\Temp\ydubehg4\"/>
    </mc:Choice>
  </mc:AlternateContent>
  <bookViews>
    <workbookView xWindow="1900" yWindow="1900" windowWidth="16920" windowHeight="10640" tabRatio="869" activeTab="4"/>
  </bookViews>
  <sheets>
    <sheet name="Contents" sheetId="62" r:id="rId2"/>
    <sheet name="Instructions" sheetId="87" r:id="rId3"/>
    <sheet name="LRAMVA Checklist Schematic" sheetId="63" r:id="rId4"/>
    <sheet name="DropDownList" sheetId="80" state="hidden" r:id="rId5"/>
    <sheet name="1.  LRAMVA Summary" sheetId="43" r:id="rId6"/>
    <sheet name="1-a.  Summary of Changes" sheetId="83" r:id="rId7"/>
    <sheet name="2. LRAMVA Threshold" sheetId="44" r:id="rId8"/>
    <sheet name="3.  Distribution Rates" sheetId="45" r:id="rId9"/>
    <sheet name="3-a.  Rate Class Allocations" sheetId="86" r:id="rId10"/>
    <sheet name="4.  2011-2014 LRAM" sheetId="46" r:id="rId11"/>
    <sheet name="5.  2015-2020 LRAM" sheetId="79" r:id="rId12"/>
    <sheet name="6.  Carrying Charges" sheetId="47" r:id="rId13"/>
    <sheet name="7.  Persistence Report" sheetId="68" r:id="rId14"/>
    <sheet name="8.  Streetlighting" sheetId="85" r:id="rId15"/>
    <sheet name="Streetlight Details" sheetId="88" r:id="rId16"/>
  </sheets>
  <externalReferences>
    <externalReference r:id="rId19"/>
  </externalReferences>
  <definedNames>
    <definedName name="_xlnm._FilterDatabase" localSheetId="12" hidden="1">'7.  Persistence Report'!$C$26:$BT$26</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workbook>
</file>

<file path=xl/calcChain.xml><?xml version="1.0" encoding="utf-8"?>
<calcChain xmlns="http://schemas.openxmlformats.org/spreadsheetml/2006/main">
  <c r="E3" i="80" l="1"/>
</calcChain>
</file>

<file path=xl/sharedStrings.xml><?xml version="1.0" encoding="utf-8"?>
<sst xmlns="http://schemas.openxmlformats.org/spreadsheetml/2006/main" count="4229" uniqueCount="866">
  <si>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</si>
  <si>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</si>
  <si>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</si>
  <si>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</si>
  <si>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</si>
  <si>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</si>
  <si>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</si>
  <si>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</si>
  <si>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</si>
  <si>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</si>
  <si>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</si>
  <si>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</si>
  <si>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</si>
  <si>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</si>
  <si>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</si>
  <si>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</si>
  <si>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</si>
  <si>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</si>
  <si>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</si>
  <si>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</si>
  <si>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</si>
  <si>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</si>
  <si>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</si>
  <si>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</si>
  <si>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</si>
  <si>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</si>
  <si>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</si>
  <si>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</si>
  <si>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</si>
  <si>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</si>
  <si>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</si>
  <si>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</si>
  <si>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</si>
  <si>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</si>
  <si>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</si>
  <si>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</si>
  <si>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</si>
  <si>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</si>
  <si>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</si>
  <si>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</si>
  <si>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</si>
  <si>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</si>
  <si>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</si>
  <si>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</si>
  <si>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</si>
  <si>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</si>
  <si>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</si>
  <si>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</si>
  <si>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</si>
  <si>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</si>
  <si>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</si>
  <si>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</si>
  <si>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</si>
  <si>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</si>
  <si>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</si>
  <si>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</si>
  <si>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</si>
  <si>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</si>
  <si>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</si>
  <si>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</si>
  <si>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</si>
  <si>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</si>
  <si>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</si>
  <si>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</si>
  <si>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</si>
  <si>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</si>
  <si>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</si>
  <si>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</si>
  <si>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</si>
  <si>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</si>
  <si>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</si>
  <si>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</si>
  <si>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</si>
  <si>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</si>
  <si>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</si>
  <si>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</si>
  <si>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</si>
  <si>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</si>
  <si>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</si>
  <si>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</si>
  <si>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</si>
  <si>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</si>
  <si>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</si>
  <si>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</si>
  <si>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</si>
  <si>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</si>
  <si>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</si>
  <si>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</si>
  <si>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</si>
  <si>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</si>
  <si>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</si>
  <si>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</si>
  <si>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</si>
  <si>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</si>
  <si>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</si>
  <si>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</si>
  <si>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</si>
  <si>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</si>
  <si>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</si>
  <si>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</si>
  <si>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</si>
  <si>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</si>
  <si>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</si>
  <si>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</si>
  <si>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</si>
  <si>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</si>
  <si>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</si>
  <si>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</si>
  <si>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</si>
  <si>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</si>
  <si>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</si>
  <si>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</si>
  <si>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</si>
  <si>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</si>
  <si>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</si>
  <si>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</si>
  <si>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</si>
  <si>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</si>
  <si>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</si>
  <si>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</si>
  <si>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</si>
  <si>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</si>
  <si>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</si>
  <si>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</si>
  <si>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</si>
  <si>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</si>
  <si>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</si>
  <si>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</si>
  <si>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</si>
  <si>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</si>
  <si>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</si>
  <si>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</si>
  <si>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</si>
  <si>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</si>
  <si>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</si>
  <si>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</si>
  <si>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</si>
  <si>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</si>
  <si>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</si>
  <si>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</si>
  <si>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</si>
  <si>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</si>
  <si>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</si>
  <si>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</si>
  <si>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</si>
  <si>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</si>
  <si>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</si>
  <si>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</si>
  <si>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</si>
  <si>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</si>
  <si>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</si>
  <si>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</si>
  <si>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</si>
  <si>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</si>
  <si>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</si>
  <si>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</si>
  <si>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</si>
  <si>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</si>
  <si>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</si>
  <si>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</si>
  <si>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</si>
  <si>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</si>
  <si>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</si>
  <si>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</si>
  <si>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</si>
  <si>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</si>
  <si>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</si>
  <si>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</si>
  <si>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</si>
  <si>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</si>
  <si>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</si>
  <si>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</si>
  <si>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</si>
  <si>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</si>
  <si>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</si>
  <si>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</si>
  <si>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</si>
  <si>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</si>
  <si>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</si>
  <si>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</si>
  <si>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</si>
  <si>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</si>
  <si>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</si>
  <si>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</si>
  <si>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</si>
  <si>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</si>
  <si>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</si>
  <si>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</si>
  <si>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</si>
  <si>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</si>
  <si>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</si>
  <si>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</si>
  <si>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</si>
  <si>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</si>
  <si>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</si>
  <si>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</si>
  <si>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</si>
  <si>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</si>
  <si>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</si>
  <si>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</si>
  <si>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</si>
  <si>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</si>
  <si>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</si>
  <si>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</si>
  <si>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</si>
  <si>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</si>
  <si>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</si>
  <si>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</si>
  <si>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</si>
  <si>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</si>
  <si>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</si>
  <si>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</si>
  <si>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</si>
  <si>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</si>
  <si>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</si>
  <si>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</si>
  <si>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</si>
  <si>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</si>
  <si>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</si>
  <si>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</si>
  <si>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</si>
  <si>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</si>
  <si>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</si>
  <si>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</si>
  <si>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</si>
  <si>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</si>
  <si>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</si>
  <si>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</si>
  <si>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</si>
  <si>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</si>
  <si>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</si>
  <si>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</si>
  <si>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</si>
  <si>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</si>
  <si>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</si>
  <si>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</si>
  <si>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</si>
  <si>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</si>
  <si>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</si>
  <si>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</si>
  <si>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</si>
  <si>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</si>
  <si>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</si>
  <si>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</si>
  <si>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</si>
  <si>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</si>
  <si>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</si>
  <si>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</si>
  <si>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</si>
  <si>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</si>
  <si>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</si>
  <si>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</si>
  <si>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</si>
  <si>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</si>
  <si>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</si>
  <si>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</si>
  <si>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</si>
  <si>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</si>
  <si>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</si>
  <si>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</si>
  <si>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</si>
  <si>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</si>
  <si>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</si>
  <si>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</si>
  <si>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</si>
  <si>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</si>
  <si>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</si>
  <si>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</si>
  <si>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</si>
  <si>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</si>
  <si>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</si>
  <si>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</si>
  <si>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</si>
  <si>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</si>
  <si>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</si>
  <si>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</si>
  <si>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</si>
  <si>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</si>
  <si>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</si>
  <si>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</si>
  <si>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</si>
  <si>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</si>
  <si>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</si>
  <si>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</si>
  <si>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</si>
  <si>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</si>
  <si>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</si>
  <si>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</si>
  <si>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</si>
  <si>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</si>
  <si>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</si>
  <si>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</si>
  <si>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</si>
  <si>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</si>
  <si>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</si>
  <si>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</si>
  <si>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</si>
  <si>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</si>
  <si>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</si>
  <si>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</si>
  <si>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</si>
  <si>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</si>
  <si>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</si>
  <si>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</si>
  <si>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</si>
  <si>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</si>
  <si>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</si>
  <si>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</si>
  <si>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</si>
  <si>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</si>
  <si>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</si>
  <si>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</si>
  <si>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</si>
  <si>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</si>
  <si>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</si>
  <si>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</si>
  <si>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</si>
  <si>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</si>
  <si>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</si>
  <si>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</si>
  <si>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</si>
  <si>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</si>
  <si>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</si>
  <si>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</si>
  <si>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</si>
  <si>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</si>
  <si>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</si>
  <si>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</si>
  <si>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</si>
  <si>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</si>
  <si>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</si>
  <si>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</si>
  <si>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</si>
  <si>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</si>
  <si>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</si>
  <si>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</si>
  <si>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</si>
  <si>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</si>
  <si>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</si>
  <si>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</si>
  <si>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</si>
  <si>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</si>
  <si>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</si>
  <si>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</si>
  <si>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</si>
  <si>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</si>
  <si>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</si>
  <si>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</si>
  <si>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</si>
  <si>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</si>
  <si>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</si>
  <si>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</si>
  <si>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</si>
  <si>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</si>
  <si>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</si>
  <si>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</si>
  <si>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</si>
  <si>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</si>
  <si>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</si>
  <si>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</si>
  <si>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</si>
  <si>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</si>
  <si>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</si>
  <si>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</si>
  <si>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</si>
  <si>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</si>
  <si>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</si>
  <si>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</si>
  <si>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</si>
  <si>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</si>
  <si>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</si>
  <si>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</si>
  <si>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</si>
  <si>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</si>
  <si>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</si>
  <si>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</si>
  <si>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</si>
  <si>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</si>
  <si>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</si>
  <si>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</si>
  <si>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</si>
  <si>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</si>
  <si>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</si>
  <si>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</si>
  <si>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</si>
  <si>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</si>
  <si>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</si>
  <si>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</si>
  <si>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</si>
  <si>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</si>
  <si>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</si>
  <si>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</si>
  <si>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</si>
  <si>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</si>
  <si>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</si>
  <si>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</si>
  <si>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</si>
  <si>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</si>
  <si>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</si>
  <si>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</si>
  <si>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</si>
  <si>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</si>
  <si>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</si>
  <si>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</si>
  <si>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</si>
  <si>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</si>
  <si>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</si>
  <si>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</si>
  <si>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</si>
  <si>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</si>
  <si>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</si>
  <si>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</si>
  <si>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</si>
  <si>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</si>
  <si>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</si>
  <si>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</si>
  <si>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</si>
  <si>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</si>
  <si>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</si>
  <si>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</si>
  <si>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</si>
  <si>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</si>
  <si>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</si>
  <si>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</si>
  <si>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</si>
  <si>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</si>
  <si>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</si>
  <si>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</si>
  <si>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</si>
  <si>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</si>
  <si>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</si>
  <si>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</si>
  <si>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</si>
  <si>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</si>
  <si>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</si>
  <si>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</si>
  <si>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</si>
  <si>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</si>
  <si>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</si>
  <si>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</si>
  <si>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</si>
  <si>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</si>
  <si>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</si>
  <si>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</si>
  <si>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</si>
  <si>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</si>
  <si>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</si>
  <si>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</si>
  <si>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</si>
  <si>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</si>
  <si>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</si>
  <si>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</si>
  <si>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</si>
  <si>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</si>
  <si>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</si>
  <si>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</si>
  <si>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</si>
  <si>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</si>
  <si>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</si>
  <si>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</si>
  <si>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</si>
  <si>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</si>
  <si>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</si>
  <si>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</si>
  <si>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</si>
  <si>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</si>
  <si>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</si>
  <si>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</si>
  <si>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</si>
  <si>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</si>
  <si>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</si>
  <si>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</si>
  <si>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</si>
  <si>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</si>
  <si>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</si>
  <si>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</si>
  <si>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</si>
  <si>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</si>
  <si>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</si>
  <si>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</si>
  <si>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</si>
  <si>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</si>
  <si>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</si>
  <si>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</si>
  <si>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</si>
  <si>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</si>
  <si>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</si>
  <si>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</si>
  <si>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</si>
  <si>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</si>
  <si>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</si>
  <si>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</si>
  <si>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</si>
  <si>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</si>
  <si>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</si>
  <si>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</si>
  <si>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</si>
  <si>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</si>
  <si>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</si>
  <si>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</si>
  <si>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</si>
  <si>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</si>
  <si>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</si>
  <si>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</si>
  <si>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</si>
  <si>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</si>
  <si>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</si>
  <si>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</si>
  <si>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</si>
  <si>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</si>
  <si>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</si>
  <si>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</si>
  <si>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</si>
  <si>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</si>
  <si>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</si>
  <si>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</si>
  <si>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</si>
  <si>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</si>
  <si>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</si>
  <si>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</si>
  <si>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</si>
  <si>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</si>
  <si>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</si>
  <si>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</si>
  <si>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</si>
  <si>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</si>
  <si>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</si>
  <si>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</si>
  <si>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</si>
  <si>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</si>
  <si>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</si>
  <si>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</si>
  <si>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</si>
  <si>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</si>
  <si>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</si>
  <si>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</si>
  <si>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</si>
  <si>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</si>
  <si>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</si>
  <si>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</si>
  <si>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</si>
  <si>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</si>
  <si>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</si>
  <si>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</si>
  <si>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</si>
  <si>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</si>
  <si>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</si>
  <si>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</si>
  <si>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</si>
  <si>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</si>
  <si>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</si>
  <si>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</si>
  <si>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</si>
  <si>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</si>
  <si>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</si>
  <si>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</si>
  <si>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</si>
  <si>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</si>
  <si>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</si>
  <si>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</si>
  <si>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</si>
  <si>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</si>
  <si>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</si>
  <si>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</si>
  <si>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</si>
  <si>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</si>
  <si>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</si>
  <si>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</si>
  <si>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</si>
  <si>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</si>
  <si>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</si>
  <si>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</si>
  <si>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</si>
  <si>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</si>
  <si>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</si>
  <si>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</si>
  <si>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</si>
  <si>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</si>
  <si>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</si>
  <si>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</si>
  <si>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</si>
  <si>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</si>
  <si>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</si>
  <si>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</si>
  <si>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</si>
  <si>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</si>
  <si>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</si>
  <si>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</si>
  <si>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</si>
  <si>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</si>
  <si>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</si>
  <si>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</si>
  <si>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</si>
  <si>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</si>
  <si>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</si>
  <si>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</si>
  <si>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</si>
  <si>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</si>
  <si>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</si>
  <si>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</si>
  <si>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</si>
  <si>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</si>
  <si>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</si>
  <si>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</si>
  <si>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</si>
  <si>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</si>
  <si>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</si>
  <si>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</si>
  <si>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</si>
  <si>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</si>
  <si>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</si>
  <si>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</si>
  <si>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</si>
  <si>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</si>
  <si>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</si>
  <si>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</si>
  <si>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</si>
  <si>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</si>
  <si>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</si>
  <si>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</si>
  <si>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</si>
  <si>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</si>
  <si>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</si>
  <si>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</si>
  <si>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</si>
  <si>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</si>
  <si>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</si>
  <si>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</si>
  <si>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</si>
  <si>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</si>
  <si>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</si>
  <si>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</si>
  <si>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</si>
  <si>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</si>
  <si>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</si>
  <si>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</si>
  <si>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</si>
  <si>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</si>
  <si>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</si>
  <si>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</si>
  <si>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</si>
  <si>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</si>
  <si>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</si>
  <si>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</si>
  <si>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</si>
  <si>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</si>
  <si>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</si>
  <si>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</si>
  <si>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</si>
  <si>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</si>
  <si>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</si>
  <si>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</si>
  <si>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</si>
  <si>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</si>
  <si>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</si>
  <si>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</si>
  <si>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</si>
  <si>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</si>
  <si>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</si>
  <si>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</si>
  <si>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</si>
  <si>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</si>
  <si>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</si>
  <si>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</si>
  <si>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</si>
  <si>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</si>
  <si>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</si>
  <si>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</si>
  <si>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</si>
  <si>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</si>
  <si>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</si>
  <si>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</si>
  <si>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</si>
  <si>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</si>
  <si>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</si>
  <si>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</si>
  <si>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</si>
  <si>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</si>
  <si>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</si>
  <si>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</si>
  <si>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</si>
  <si>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</si>
  <si>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</si>
  <si>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</si>
  <si>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</si>
  <si>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</si>
  <si>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</si>
  <si>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</si>
  <si>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</si>
  <si>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</si>
  <si>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</si>
  <si>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</si>
  <si>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</si>
  <si>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</si>
  <si>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</si>
  <si>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</si>
  <si>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</si>
  <si>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</si>
  <si>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</si>
  <si>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</si>
  <si>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</si>
  <si>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</si>
  <si>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</si>
  <si>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</si>
  <si>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</si>
  <si>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</si>
  <si>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</si>
  <si>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</si>
  <si>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</si>
  <si>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</si>
  <si>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</si>
  <si>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</si>
  <si>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</si>
  <si>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</si>
  <si>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</si>
  <si>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</si>
  <si>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</si>
  <si>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</si>
  <si>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</si>
  <si>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</si>
  <si>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</si>
  <si>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</si>
  <si>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</si>
  <si>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</si>
  <si>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</si>
  <si>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</si>
  <si>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</si>
  <si>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</si>
  <si>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</si>
  <si>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</si>
  <si>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</si>
  <si>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</si>
  <si>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</si>
  <si>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</si>
  <si>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</si>
  <si>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</si>
  <si>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</si>
  <si>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</si>
  <si>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</si>
  <si>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</si>
  <si>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</si>
  <si>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</si>
  <si>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</si>
  <si>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</si>
  <si>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</si>
  <si>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Halton Hills Hydro Inc.</t>
  </si>
  <si>
    <t>EE</t>
  </si>
  <si>
    <t>DR</t>
  </si>
  <si>
    <t>Business</t>
  </si>
  <si>
    <t>Demand Response 3 (part of the Industrial program schedule)</t>
  </si>
  <si>
    <t>Commercial &amp; Institutional</t>
  </si>
  <si>
    <t>Industrial</t>
  </si>
  <si>
    <t>Pre-2011 Programs Completed in 2011</t>
  </si>
  <si>
    <t>Tier 1 - 2011 Adjustment</t>
  </si>
  <si>
    <t>C&amp;I</t>
  </si>
  <si>
    <t>Commercial</t>
  </si>
  <si>
    <t>Non-Tier 1</t>
  </si>
  <si>
    <t>Residential and Small Commercial Demand Response</t>
  </si>
  <si>
    <t>HVAC</t>
  </si>
  <si>
    <t>DR-3</t>
  </si>
  <si>
    <t>Small Business Lighting</t>
  </si>
  <si>
    <t>Annual Coupons</t>
  </si>
  <si>
    <t>Bi-Annual Retailer Events</t>
  </si>
  <si>
    <t>Home Assistance</t>
  </si>
  <si>
    <t>Energy Managers</t>
  </si>
  <si>
    <t>Time-of-Use Savings</t>
  </si>
  <si>
    <t xml:space="preserve">Demand Response 3 </t>
  </si>
  <si>
    <t>Save on Energy Heating &amp; Cooling Program</t>
  </si>
  <si>
    <t>Save on Energy Instant Discount Program</t>
  </si>
  <si>
    <t>Pool Saver Local Program</t>
  </si>
  <si>
    <t>Whole Home Pilot Program</t>
  </si>
  <si>
    <t>Save on Energy Smart Thermostat Program</t>
  </si>
  <si>
    <t>Swimming Pool Efficiency Program</t>
  </si>
  <si>
    <t>GS 50 - 999 kW</t>
  </si>
  <si>
    <t>GS 1,000 - 4,999 kW</t>
  </si>
  <si>
    <t>USL</t>
  </si>
  <si>
    <t>2015/2016</t>
  </si>
  <si>
    <t>EB-2015-0074, 3-VECC-15, part f)</t>
  </si>
  <si>
    <t>CDM amount agreed in EB-2015-0074 Settlement Agreement, Page 16</t>
  </si>
  <si>
    <t>(Note: The removal of a CDM amount related to 2011-2014 persistence, that was used to produce the forecast, is also described in this section.)</t>
  </si>
  <si>
    <t>2011/2012</t>
  </si>
  <si>
    <t>EB-2011-0271 Partial Settlement Agreement, p. 11</t>
  </si>
  <si>
    <t>EB-2013-0136</t>
  </si>
  <si>
    <t>EB-2014-0079</t>
  </si>
  <si>
    <t>EB-2015-0074</t>
  </si>
  <si>
    <t>EB-2016-0076</t>
  </si>
  <si>
    <t>EB-2017-0045</t>
  </si>
  <si>
    <t>EB-2018-0037</t>
  </si>
  <si>
    <t>EB-2019-0039</t>
  </si>
  <si>
    <t>-</t>
  </si>
  <si>
    <t>Sum of Post Project Consumption Savings Attributable to Each Class</t>
  </si>
  <si>
    <t>GS&lt;50</t>
  </si>
  <si>
    <t>GS 50-999</t>
  </si>
  <si>
    <t>GS 1,000 - 4,999</t>
  </si>
  <si>
    <t>Street Lights</t>
  </si>
  <si>
    <t>Save on Energy Business Refrigeration Program</t>
  </si>
  <si>
    <t>Swimming Pool Efficiency Local Program</t>
  </si>
  <si>
    <t>Persistence in 2016</t>
  </si>
  <si>
    <t>Persistence in 2017</t>
  </si>
  <si>
    <t>Persistence in 2018</t>
  </si>
  <si>
    <t>Persistence in 2019</t>
  </si>
  <si>
    <t>Persistence in 2020</t>
  </si>
  <si>
    <t>LED Fixtures</t>
  </si>
  <si>
    <t>HPS &amp; MH Fixtures</t>
  </si>
  <si>
    <t>watt</t>
  </si>
  <si>
    <t>billing watts</t>
  </si>
  <si>
    <t>Count</t>
  </si>
  <si>
    <t>Please see "Streetlight Details"</t>
  </si>
  <si>
    <t>Gross</t>
  </si>
  <si>
    <t># of Months</t>
  </si>
  <si>
    <t xml:space="preserve">*Incremental Streetlights removed </t>
  </si>
  <si>
    <t>Replacements*</t>
  </si>
  <si>
    <t># HPS&amp;MH</t>
  </si>
  <si>
    <t># Replaced</t>
  </si>
  <si>
    <t>EB-2020-0026</t>
  </si>
  <si>
    <t>2021 COS Application</t>
  </si>
  <si>
    <t>2016 COS Application</t>
  </si>
  <si>
    <t>2020 Q3 DVA Interest Rate used for 2020 Q4 and 2021 Q1 + April</t>
  </si>
  <si>
    <t xml:space="preserve">Rates unavailable at time of workform preparation </t>
  </si>
  <si>
    <t>kW/kWh ratio of similar programs used where kW unavailable</t>
  </si>
  <si>
    <t xml:space="preserve">kW results not provided </t>
  </si>
  <si>
    <t>Streetlight Actuals from tab 8 instead of allocation</t>
  </si>
  <si>
    <t>Board Direction</t>
  </si>
  <si>
    <t>Actual</t>
  </si>
  <si>
    <t>Forecast</t>
  </si>
  <si>
    <t>GS &lt; 50 kW</t>
  </si>
  <si>
    <t>GS 50 – 999 kW</t>
  </si>
  <si>
    <t>GS &gt; 1,000 kW</t>
  </si>
  <si>
    <t>Sen. Lighting</t>
  </si>
  <si>
    <t>Rate Class</t>
  </si>
  <si>
    <t>Principal</t>
  </si>
  <si>
    <t>Total LRAMVA</t>
  </si>
  <si>
    <t>Load Forecast</t>
  </si>
  <si>
    <t>Proposed Rate Rider</t>
  </si>
  <si>
    <t>2015-2018</t>
  </si>
  <si>
    <t>8. Streetlighting</t>
  </si>
  <si>
    <t>G39, G63, G86</t>
  </si>
  <si>
    <t>Figures multipled by NTG ratio (change also impacts future years)</t>
  </si>
  <si>
    <t>NTG not originally considered in persistence calculations</t>
  </si>
  <si>
    <t>Hours On</t>
  </si>
  <si>
    <t>f</t>
  </si>
  <si>
    <t>h</t>
  </si>
  <si>
    <t>e = b * c * d</t>
  </si>
  <si>
    <t>g = e * h</t>
  </si>
  <si>
    <t>Net kWh reduction</t>
  </si>
  <si>
    <t>Energy Retrofit Streetlight Adjustment</t>
  </si>
  <si>
    <t>2015 Adjustment</t>
  </si>
  <si>
    <t>2016 Adjustment</t>
  </si>
  <si>
    <t>2017 Adjustment</t>
  </si>
  <si>
    <t>Hours On based on "Halton_Appl_HONI_Load_Profile_2021_COS"</t>
  </si>
  <si>
    <t>Includes reduced demand hours as partial hours.</t>
  </si>
  <si>
    <t xml:space="preserve">ex. Demand is 218kW from Hours 1-6 on Jan 1, then 190kW in Hour 7. Hour 7 included as 0.87. </t>
  </si>
  <si>
    <t>1/2 of first month energy included</t>
  </si>
  <si>
    <t>T24:V89</t>
  </si>
  <si>
    <t>Calculations of Streetlight kWh savings</t>
  </si>
  <si>
    <t>Required to remove from other savings</t>
  </si>
  <si>
    <t>Rows 58, 305, 488</t>
  </si>
  <si>
    <t>Addition of negative Streetlight energy savings (to offset existing values)</t>
  </si>
  <si>
    <t>Remove savings calculated in 8. Streetlighting</t>
  </si>
  <si>
    <t>Rows 139-147</t>
  </si>
  <si>
    <t>Negative Streetlight savings and Unverified 2016/2017 savings</t>
  </si>
  <si>
    <t>Not originally included in LRAMVA calculation</t>
  </si>
  <si>
    <t>Row 305</t>
  </si>
  <si>
    <t>Rows 472, 475, 488, 522, 525</t>
  </si>
  <si>
    <t>References to 2017 Unverified Adjustments from tab 7</t>
  </si>
  <si>
    <t>Reference to 2016 Unverified Adjustment from tab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</si>
</sst>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quot;$&quot;#,##0.0000;[Red]&quot;$&quot;#,##0.0000"/>
    <numFmt numFmtId="290" formatCode="#,##0.0"/>
  </numFmts>
  <fonts count="245">
    <font>
      <sz val="11"/>
      <color theme="1"/>
      <name val="Calibri"/>
      <family val="2"/>
      <scheme val="minor"/>
    </font>
    <font>
      <sz val="10"/>
      <color theme="1"/>
      <name val="Arial"/>
      <family val="2"/>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name val="Calibri"/>
      <family val="2"/>
      <scheme val="minor"/>
    </font>
    <font>
      <b/>
      <sz val="11"/>
      <name val="Arial"/>
      <family val="2"/>
    </font>
    <font>
      <sz val="9"/>
      <name val="Tahoma"/>
      <family val="2"/>
    </font>
    <font>
      <b/>
      <sz val="9"/>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rgb="FFFF0000"/>
      <name val="Arial"/>
      <family val="2"/>
    </font>
    <font>
      <sz val="9"/>
      <color rgb="FFFF0000"/>
      <name val="Arial"/>
      <family val="2"/>
    </font>
    <font>
      <sz val="9"/>
      <name val="Arial"/>
      <family val="2"/>
    </font>
    <font>
      <u val="single"/>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7"/>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val="single"/>
      <sz val="11"/>
      <color theme="11"/>
      <name val="Calibri"/>
      <family val="2"/>
      <scheme val="minor"/>
    </font>
    <font>
      <sz val="10"/>
      <name val="Verdana"/>
      <family val="2"/>
    </font>
    <font>
      <sz val="10"/>
      <name val="Helv"/>
      <family val="2"/>
      <charset val="204"/>
    </font>
    <font>
      <sz val="10"/>
      <name val="Frutiger 45 Light"/>
      <family val="2"/>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amily val="2"/>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amily val="2"/>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val="single"/>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amily val="2"/>
    </font>
    <font>
      <i/>
      <sz val="14"/>
      <name val="Palatino"/>
      <family val="1"/>
    </font>
    <font>
      <b/>
      <sz val="11"/>
      <color theme="3"/>
      <name val="Calibri"/>
      <family val="2"/>
    </font>
    <font>
      <b/>
      <sz val="9"/>
      <name val="Times New Roman"/>
      <family val="1"/>
    </font>
    <font>
      <b/>
      <i/>
      <sz val="22"/>
      <name val="Times New Roman"/>
      <family val="1"/>
    </font>
    <font>
      <b/>
      <sz val="10"/>
      <name val="Helv"/>
      <family val="2"/>
    </font>
    <font>
      <u val="single"/>
      <sz val="8"/>
      <color rgb="FF0000FF"/>
      <name val="Calibri"/>
      <family val="2"/>
      <scheme val="minor"/>
    </font>
    <font>
      <u val="single"/>
      <sz val="10"/>
      <color indexed="12"/>
      <name val="Arial"/>
      <family val="2"/>
    </font>
    <font>
      <u val="single"/>
      <sz val="10"/>
      <color indexed="12"/>
      <name val="Times New Roman"/>
      <family val="1"/>
    </font>
    <font>
      <u val="single"/>
      <sz val="11"/>
      <color indexed="12"/>
      <name val="Calibri"/>
      <family val="2"/>
    </font>
    <font>
      <u val="single"/>
      <sz val="11"/>
      <color theme="10"/>
      <name val="Calibri"/>
      <family val="2"/>
    </font>
    <font>
      <u val="single"/>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val="single"/>
      <sz val="10"/>
      <color indexed="36"/>
      <name val="Arial"/>
      <family val="2"/>
    </font>
    <font>
      <sz val="10"/>
      <color indexed="12"/>
      <name val="CG Times (WN)"/>
      <family val="2"/>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amily val="2"/>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amily val="2"/>
    </font>
    <font>
      <sz val="22"/>
      <name val="UBSHeadline"/>
      <family val="1"/>
    </font>
    <font>
      <sz val="10"/>
      <name val="Tms Rmn"/>
      <family val="2"/>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amily val="2"/>
    </font>
    <font>
      <b/>
      <sz val="12"/>
      <name val="MS Sans Serif"/>
      <family val="2"/>
    </font>
    <font>
      <u val="singleAccounting"/>
      <sz val="10"/>
      <name val="Arial"/>
      <family val="2"/>
    </font>
    <font>
      <u val="singleAccounting"/>
      <sz val="10"/>
      <name val="Times New Roman"/>
      <family val="1"/>
    </font>
    <font>
      <vertAlign val="superscript"/>
      <sz val="12"/>
      <name val="Helv"/>
      <family val="2"/>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amily val="2"/>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amily val="2"/>
    </font>
    <font>
      <b/>
      <sz val="11"/>
      <name val="Times New Roman"/>
      <family val="1"/>
    </font>
    <font>
      <b/>
      <sz val="14"/>
      <color indexed="16"/>
      <name val="Sabon"/>
      <family val="2"/>
    </font>
    <font>
      <b/>
      <sz val="12"/>
      <name val="Helv"/>
      <family val="2"/>
    </font>
    <font>
      <b/>
      <sz val="14"/>
      <color indexed="9"/>
      <name val="Times New Roman"/>
      <family val="1"/>
    </font>
    <font>
      <b/>
      <sz val="14"/>
      <name val="Times New Roman"/>
      <family val="1"/>
    </font>
    <font>
      <b/>
      <sz val="12"/>
      <color theme="1"/>
      <name val="Calibri"/>
      <family val="2"/>
    </font>
    <font>
      <u val="single"/>
      <sz val="8"/>
      <color indexed="8"/>
      <name val="Arial"/>
      <family val="2"/>
    </font>
    <font>
      <sz val="16"/>
      <name val="WarburgLogo"/>
      <family val="1"/>
    </font>
    <font>
      <sz val="8"/>
      <color indexed="12"/>
      <name val="Times New Roman"/>
      <family val="1"/>
    </font>
    <font>
      <b/>
      <sz val="11"/>
      <color rgb="FFFF0000"/>
      <name val="Arial"/>
      <family val="2"/>
    </font>
    <font>
      <u val="single"/>
      <sz val="11"/>
      <name val="Arial"/>
      <family val="2"/>
    </font>
    <font>
      <b/>
      <sz val="10"/>
      <name val="Calibri"/>
      <family val="2"/>
      <scheme val="minor"/>
    </font>
    <font>
      <sz val="11"/>
      <color theme="0" tint="-0.49997"/>
      <name val="Arial"/>
      <family val="2"/>
    </font>
    <font>
      <sz val="10"/>
      <color theme="0" tint="-0.49997"/>
      <name val="Arial"/>
      <family val="2"/>
    </font>
    <font>
      <sz val="12"/>
      <color rgb="FF000000"/>
      <name val="Arial"/>
      <family val="2"/>
    </font>
    <font>
      <b/>
      <sz val="12"/>
      <color theme="0"/>
      <name val="Arial"/>
      <family val="2"/>
    </font>
    <font>
      <sz val="11"/>
      <color theme="0" tint="-0.24997"/>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val="single"/>
      <sz val="12"/>
      <name val="Arial"/>
      <family val="2"/>
    </font>
    <font>
      <sz val="12"/>
      <color rgb="FFFF0000"/>
      <name val="Arial"/>
      <family val="2"/>
    </font>
    <font>
      <b/>
      <i/>
      <sz val="12"/>
      <color theme="1"/>
      <name val="Calibri"/>
      <family val="2"/>
      <scheme val="minor"/>
    </font>
    <font>
      <b/>
      <i/>
      <sz val="12"/>
      <name val="Calibri"/>
      <family val="2"/>
      <scheme val="minor"/>
    </font>
    <font>
      <u val="single"/>
      <sz val="12"/>
      <color theme="10"/>
      <name val="Calibri"/>
      <family val="2"/>
      <scheme val="minor"/>
    </font>
    <font>
      <b/>
      <u val="single"/>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val="single"/>
      <sz val="12"/>
      <name val="Arial"/>
      <family val="2"/>
    </font>
    <font>
      <u val="single"/>
      <sz val="11"/>
      <color theme="1"/>
      <name val="Arial"/>
      <family val="2"/>
    </font>
    <font>
      <b/>
      <u val="single"/>
      <sz val="11"/>
      <color rgb="FF0033CC"/>
      <name val="Arial"/>
      <family val="2"/>
    </font>
    <font>
      <b/>
      <u val="single"/>
      <sz val="11"/>
      <color theme="1"/>
      <name val="Arial"/>
      <family val="2"/>
    </font>
    <font>
      <b/>
      <u val="single"/>
      <sz val="11"/>
      <color rgb="FFFF0000"/>
      <name val="Arial"/>
      <family val="2"/>
    </font>
    <font>
      <u val="single"/>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0000"/>
      <name val="Calibri"/>
      <family val="2"/>
      <scheme val="minor"/>
    </font>
  </fonts>
  <fills count="8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54"/>
        <bgColor indexed="64"/>
      </patternFill>
    </fill>
    <fill>
      <patternFill patternType="solid">
        <fgColor theme="4" tint="0.79998"/>
        <bgColor indexed="64"/>
      </patternFill>
    </fill>
    <fill>
      <patternFill patternType="solid">
        <fgColor theme="5" tint="0.79998"/>
        <bgColor indexed="64"/>
      </patternFill>
    </fill>
    <fill>
      <patternFill patternType="solid">
        <fgColor theme="6" tint="0.79998"/>
        <bgColor indexed="64"/>
      </patternFill>
    </fill>
    <fill>
      <patternFill patternType="solid">
        <fgColor theme="7" tint="0.79998"/>
        <bgColor indexed="64"/>
      </patternFill>
    </fill>
    <fill>
      <patternFill patternType="solid">
        <fgColor theme="8" tint="0.79998"/>
        <bgColor indexed="64"/>
      </patternFill>
    </fill>
    <fill>
      <patternFill patternType="solid">
        <fgColor theme="9" tint="0.79998"/>
        <bgColor indexed="64"/>
      </patternFill>
    </fill>
    <fill>
      <patternFill patternType="solid">
        <fgColor theme="4" tint="0.59999"/>
        <bgColor indexed="64"/>
      </patternFill>
    </fill>
    <fill>
      <patternFill patternType="solid">
        <fgColor theme="5" tint="0.59999"/>
        <bgColor indexed="64"/>
      </patternFill>
    </fill>
    <fill>
      <patternFill patternType="solid">
        <fgColor theme="6" tint="0.59999"/>
        <bgColor indexed="64"/>
      </patternFill>
    </fill>
    <fill>
      <patternFill patternType="solid">
        <fgColor theme="7" tint="0.59999"/>
        <bgColor indexed="64"/>
      </patternFill>
    </fill>
    <fill>
      <patternFill patternType="solid">
        <fgColor theme="8" tint="0.59999"/>
        <bgColor indexed="64"/>
      </patternFill>
    </fill>
    <fill>
      <patternFill patternType="solid">
        <fgColor theme="9" tint="0.59999"/>
        <bgColor indexed="64"/>
      </patternFill>
    </fill>
    <fill>
      <patternFill patternType="solid">
        <fgColor theme="4" tint="0.39998"/>
        <bgColor indexed="64"/>
      </patternFill>
    </fill>
    <fill>
      <patternFill patternType="solid">
        <fgColor theme="5" tint="0.39998"/>
        <bgColor indexed="64"/>
      </patternFill>
    </fill>
    <fill>
      <patternFill patternType="solid">
        <fgColor theme="6" tint="0.39998"/>
        <bgColor indexed="64"/>
      </patternFill>
    </fill>
    <fill>
      <patternFill patternType="solid">
        <fgColor theme="7" tint="0.39998"/>
        <bgColor indexed="64"/>
      </patternFill>
    </fill>
    <fill>
      <patternFill patternType="solid">
        <fgColor theme="8" tint="0.39998"/>
        <bgColor indexed="64"/>
      </patternFill>
    </fill>
    <fill>
      <patternFill patternType="solid">
        <fgColor theme="9" tint="0.39998"/>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gray125">
        <fgColor indexed="8"/>
      </patternFill>
    </fill>
    <fill>
      <patternFill patternType="solid">
        <fgColor rgb="FFFFC7CE"/>
        <bgColor indexed="64"/>
      </patternFill>
    </fill>
    <fill>
      <patternFill patternType="solid">
        <fgColor indexed="32"/>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lightGray">
        <fgColor indexed="12"/>
      </patternFill>
    </fill>
    <fill>
      <patternFill patternType="solid">
        <fgColor indexed="9"/>
        <bgColor indexed="64"/>
      </patternFill>
    </fill>
    <fill>
      <patternFill patternType="solid">
        <fgColor indexed="35"/>
        <bgColor indexed="64"/>
      </patternFill>
    </fill>
    <fill>
      <patternFill patternType="solid">
        <fgColor rgb="FFC6EFCE"/>
        <bgColor indexed="64"/>
      </patternFill>
    </fill>
    <fill>
      <patternFill patternType="solid">
        <fgColor indexed="22"/>
        <bgColor indexed="64"/>
      </patternFill>
    </fill>
    <fill>
      <patternFill patternType="solid">
        <fgColor rgb="FFFFCC99"/>
        <bgColor indexed="64"/>
      </patternFill>
    </fill>
    <fill>
      <patternFill patternType="solid">
        <fgColor indexed="13"/>
        <bgColor indexed="64"/>
      </patternFill>
    </fill>
    <fill>
      <patternFill patternType="mediumGray">
        <fgColor indexed="9"/>
        <bgColor indexed="22"/>
      </patternFill>
    </fill>
    <fill>
      <patternFill patternType="gray0625">
        <fgColor indexed="22"/>
      </patternFill>
    </fill>
    <fill>
      <patternFill patternType="solid">
        <fgColor rgb="FFFFEB9C"/>
        <bgColor indexed="64"/>
      </patternFill>
    </fill>
    <fill>
      <patternFill patternType="solid">
        <fgColor indexed="41"/>
        <bgColor indexed="64"/>
      </patternFill>
    </fill>
    <fill>
      <patternFill patternType="solid">
        <fgColor rgb="FFFFFFCC"/>
        <bgColor indexed="64"/>
      </patternFill>
    </fill>
    <fill>
      <patternFill patternType="solid">
        <fgColor indexed="40"/>
        <bgColor indexed="64"/>
      </patternFill>
    </fill>
    <fill>
      <patternFill patternType="mediumGray">
        <fgColor indexed="22"/>
      </patternFill>
    </fill>
    <fill>
      <patternFill patternType="solid">
        <fgColor indexed="22"/>
        <bgColor indexed="6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bgColor indexed="64"/>
      </patternFill>
    </fill>
    <fill>
      <patternFill patternType="solid">
        <fgColor indexed="16"/>
        <bgColor indexed="64"/>
      </patternFill>
    </fill>
    <fill>
      <patternFill patternType="solid">
        <fgColor indexed="38"/>
        <bgColor indexed="64"/>
      </patternFill>
    </fill>
    <fill>
      <patternFill patternType="solid">
        <fgColor theme="0"/>
        <bgColor indexed="64"/>
      </patternFill>
    </fill>
    <fill>
      <patternFill patternType="solid">
        <fgColor theme="1"/>
        <bgColor indexed="64"/>
      </patternFill>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rgb="FFEBF1DE"/>
        <bgColor indexed="64"/>
      </patternFill>
    </fill>
    <fill>
      <patternFill patternType="solid">
        <fgColor theme="0" tint="-0.04998"/>
        <bgColor indexed="64"/>
      </patternFill>
    </fill>
    <fill>
      <patternFill patternType="solid">
        <fgColor rgb="FFFFFF00"/>
        <bgColor indexed="64"/>
      </patternFill>
    </fill>
    <fill>
      <patternFill patternType="solid">
        <fgColor theme="0" tint="-0.14999"/>
        <bgColor indexed="64"/>
      </patternFill>
    </fill>
    <fill>
      <patternFill patternType="solid">
        <fgColor rgb="FFD9E2F3"/>
        <bgColor indexed="64"/>
      </patternFill>
    </fill>
  </fills>
  <borders count="125">
    <border>
      <left/>
      <right/>
      <top/>
      <bottom/>
      <diagonal/>
    </border>
    <border>
      <left style="thin">
        <color indexed="23"/>
      </left>
      <right style="thin">
        <color indexed="23"/>
      </right>
      <top style="thin">
        <color indexed="23"/>
      </top>
      <bottom style="thin">
        <color indexed="23"/>
      </bottom>
    </border>
    <border>
      <left style="double">
        <color indexed="63"/>
      </left>
      <right style="double">
        <color indexed="63"/>
      </right>
      <top style="double">
        <color indexed="63"/>
      </top>
      <bottom style="double">
        <color indexed="63"/>
      </bottom>
    </border>
    <border>
      <left/>
      <right/>
      <top/>
      <bottom style="thick">
        <color indexed="62"/>
      </bottom>
    </border>
    <border>
      <left/>
      <right/>
      <top/>
      <bottom style="thick">
        <color indexed="22"/>
      </bottom>
    </border>
    <border>
      <left/>
      <right/>
      <top/>
      <bottom style="medium">
        <color indexed="30"/>
      </bottom>
    </border>
    <border>
      <left/>
      <right/>
      <top/>
      <bottom style="double">
        <color indexed="52"/>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auto="1"/>
      </left>
      <right style="thin">
        <color auto="1"/>
      </right>
      <top style="thin">
        <color auto="1"/>
      </top>
      <bottom style="thin">
        <color auto="1"/>
      </bottom>
    </border>
    <border>
      <left/>
      <right/>
      <top style="thin">
        <color indexed="62"/>
      </top>
      <bottom style="double">
        <color indexed="62"/>
      </bottom>
    </border>
    <border>
      <left style="thin">
        <color auto="1"/>
      </left>
      <right style="thin">
        <color auto="1"/>
      </right>
      <top/>
      <bottom/>
    </border>
    <border>
      <left/>
      <right/>
      <top style="thin">
        <color auto="1"/>
      </top>
      <bottom style="double">
        <color auto="1"/>
      </bottom>
    </border>
    <border>
      <left style="double">
        <color auto="1"/>
      </left>
      <right/>
      <top/>
      <bottom style="hair">
        <color auto="1"/>
      </bottom>
    </border>
    <border>
      <left/>
      <right/>
      <top style="thin">
        <color indexed="8"/>
      </top>
      <bottom/>
    </border>
    <border>
      <left style="thin">
        <color auto="1"/>
      </left>
      <right/>
      <top/>
      <bottom/>
    </border>
    <border>
      <left/>
      <right/>
      <top/>
      <bottom style="thin">
        <color auto="1"/>
      </bottom>
    </border>
    <border>
      <left/>
      <right/>
      <top/>
      <bottom style="medium">
        <color auto="1"/>
      </bottom>
    </border>
    <border>
      <left/>
      <right/>
      <top/>
      <bottom style="thin">
        <color indexed="28"/>
      </bottom>
    </border>
    <border>
      <left/>
      <right style="thin">
        <color auto="1"/>
      </right>
      <top/>
      <bottom/>
    </border>
    <border>
      <left/>
      <right/>
      <top style="thin">
        <color auto="1"/>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style="thin">
        <color indexed="8"/>
      </right>
      <top style="thin">
        <color indexed="8"/>
      </top>
      <bottom/>
    </border>
    <border>
      <left style="thin">
        <color indexed="23"/>
      </left>
      <right style="thin">
        <color indexed="23"/>
      </right>
      <top/>
      <bottom/>
    </border>
    <border>
      <left/>
      <right/>
      <top/>
      <bottom style="thin">
        <color indexed="22"/>
      </bottom>
    </border>
    <border>
      <left style="thin">
        <color auto="1"/>
      </left>
      <right style="thin">
        <color auto="1"/>
      </right>
      <top/>
      <bottom style="thin">
        <color auto="1"/>
      </bottom>
    </border>
    <border>
      <left/>
      <right/>
      <top/>
      <bottom style="dotted">
        <color auto="1"/>
      </bottom>
    </border>
    <border>
      <left style="thin">
        <color auto="1"/>
      </left>
      <right/>
      <top style="thin">
        <color auto="1"/>
      </top>
      <bottom/>
    </border>
    <border>
      <left/>
      <right/>
      <top style="medium">
        <color auto="1"/>
      </top>
      <bottom style="medium">
        <color auto="1"/>
      </bottom>
    </border>
    <border>
      <left/>
      <right/>
      <top style="thin">
        <color auto="1"/>
      </top>
      <bottom style="thin">
        <color auto="1"/>
      </bottom>
    </border>
    <border>
      <left/>
      <right/>
      <top/>
      <bottom style="thick">
        <color theme="4"/>
      </bottom>
    </border>
    <border>
      <left/>
      <right/>
      <top/>
      <bottom style="thick">
        <color theme="4" tint="0.49998"/>
      </bottom>
    </border>
    <border>
      <left/>
      <right/>
      <top/>
      <bottom style="medium">
        <color theme="4" tint="0.39998"/>
      </bottom>
    </border>
    <border>
      <left/>
      <right/>
      <top/>
      <bottom style="thick">
        <color auto="1"/>
      </bottom>
    </border>
    <border>
      <left/>
      <right/>
      <top/>
      <bottom style="thin">
        <color indexed="8"/>
      </bottom>
    </border>
    <border>
      <left/>
      <right/>
      <top/>
      <bottom style="hair">
        <color auto="1"/>
      </bottom>
    </border>
    <border>
      <left style="thin">
        <color auto="1"/>
      </left>
      <right style="hair">
        <color auto="1"/>
      </right>
      <top/>
      <bottom/>
    </border>
    <border>
      <left style="hair">
        <color auto="1"/>
      </left>
      <right/>
      <top style="hair">
        <color auto="1"/>
      </top>
      <bottom/>
    </border>
    <border>
      <left style="thin">
        <color indexed="8"/>
      </left>
      <right style="thin">
        <color indexed="8"/>
      </right>
      <top style="thin">
        <color indexed="8"/>
      </top>
      <bottom style="thin">
        <color indexed="8"/>
      </bottom>
    </border>
    <border>
      <left/>
      <right/>
      <top/>
      <bottom style="double">
        <color rgb="FFFF8001"/>
      </bottom>
    </border>
    <border>
      <left/>
      <right style="hair">
        <color auto="1"/>
      </right>
      <top/>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medium">
        <color indexed="23"/>
      </top>
      <bottom style="medium">
        <color indexed="23"/>
      </bottom>
    </border>
    <border>
      <left style="medium">
        <color indexed="14"/>
      </left>
      <right style="medium">
        <color indexed="14"/>
      </right>
      <top style="medium">
        <color indexed="14"/>
      </top>
      <bottom style="medium">
        <color indexed="14"/>
      </bottom>
    </border>
    <border>
      <left/>
      <right/>
      <top/>
      <bottom style="thin">
        <color indexed="23"/>
      </bottom>
    </border>
    <border>
      <left/>
      <right/>
      <top style="thin">
        <color indexed="23"/>
      </top>
      <bottom style="thin">
        <color indexed="23"/>
      </bottom>
    </border>
    <border>
      <left/>
      <right/>
      <top style="thin">
        <color theme="4"/>
      </top>
      <bottom style="double">
        <color theme="4"/>
      </bottom>
    </border>
    <border>
      <left/>
      <right/>
      <top style="thin">
        <color auto="1"/>
      </top>
      <bottom style="medium">
        <color auto="1"/>
      </bottom>
    </border>
    <border>
      <left style="hair">
        <color auto="1"/>
      </left>
      <right style="hair">
        <color auto="1"/>
      </right>
      <top style="hair">
        <color auto="1"/>
      </top>
      <bottom style="hair">
        <color auto="1"/>
      </bottom>
    </border>
    <border>
      <left style="thin">
        <color auto="1"/>
      </left>
      <right style="thin">
        <color auto="1"/>
      </right>
      <top style="thin">
        <color auto="1"/>
      </top>
      <bottom/>
    </border>
    <border>
      <left style="hair">
        <color auto="1"/>
      </left>
      <right style="thin">
        <color auto="1"/>
      </right>
      <top style="hair">
        <color auto="1"/>
      </top>
      <bottom style="hair">
        <color auto="1"/>
      </bottom>
    </border>
    <border>
      <left style="thin">
        <color auto="1"/>
      </left>
      <right/>
      <top/>
      <bottom style="thin">
        <color auto="1"/>
      </bottom>
    </border>
    <border>
      <left style="thin">
        <color auto="1"/>
      </left>
      <right style="medium">
        <color rgb="FFFFFFFF"/>
      </right>
      <top style="medium">
        <color rgb="FFFFFFFF"/>
      </top>
      <bottom style="medium">
        <color rgb="FFFFFFFF"/>
      </bottom>
    </border>
    <border>
      <left style="hair">
        <color auto="1"/>
      </left>
      <right style="hair">
        <color auto="1"/>
      </right>
      <top style="hair">
        <color auto="1"/>
      </top>
      <bottom style="thin">
        <color auto="1"/>
      </bottom>
    </border>
    <border>
      <left style="hair">
        <color auto="1"/>
      </left>
      <right style="thin">
        <color auto="1"/>
      </right>
      <top style="hair">
        <color auto="1"/>
      </top>
      <bottom style="thin">
        <color auto="1"/>
      </bottom>
    </border>
    <border>
      <left style="thin">
        <color auto="1"/>
      </left>
      <right style="thin">
        <color auto="1"/>
      </right>
      <top style="thin">
        <color auto="1"/>
      </top>
      <bottom style="hair">
        <color auto="1"/>
      </bottom>
    </border>
    <border>
      <left/>
      <right/>
      <top style="thin">
        <color auto="1"/>
      </top>
      <bottom style="hair">
        <color auto="1"/>
      </bottom>
    </border>
    <border>
      <left style="thin">
        <color auto="1"/>
      </left>
      <right style="thin">
        <color auto="1"/>
      </right>
      <top/>
      <bottom style="hair">
        <color auto="1"/>
      </bottom>
    </border>
    <border>
      <left/>
      <right style="thin">
        <color auto="1"/>
      </right>
      <top style="thin">
        <color auto="1"/>
      </top>
      <bottom/>
    </border>
    <border>
      <left style="hair">
        <color auto="1"/>
      </left>
      <right/>
      <top style="hair">
        <color auto="1"/>
      </top>
      <bottom style="hair">
        <color auto="1"/>
      </bottom>
    </border>
    <border>
      <left style="medium">
        <color rgb="FFFFFFFF"/>
      </left>
      <right/>
      <top/>
      <bottom/>
    </border>
    <border>
      <left style="thin">
        <color auto="1"/>
      </left>
      <right style="medium">
        <color rgb="FFFFFFFF"/>
      </right>
      <top style="medium">
        <color rgb="FFFFFFFF"/>
      </top>
      <bottom/>
    </border>
    <border>
      <left style="thin">
        <color auto="1"/>
      </left>
      <right style="thin">
        <color auto="1"/>
      </right>
      <top style="hair">
        <color auto="1"/>
      </top>
      <bottom style="hair">
        <color auto="1"/>
      </bottom>
    </border>
    <border>
      <left style="thin">
        <color auto="1"/>
      </left>
      <right style="thin">
        <color auto="1"/>
      </right>
      <top style="thin">
        <color auto="1"/>
      </top>
      <bottom style="double">
        <color auto="1"/>
      </bottom>
    </border>
    <border>
      <left style="thin">
        <color auto="1"/>
      </left>
      <right style="thin">
        <color auto="1"/>
      </right>
      <top style="hair">
        <color auto="1"/>
      </top>
      <bottom style="thin">
        <color auto="1"/>
      </bottom>
    </border>
    <border>
      <left style="thin">
        <color auto="1"/>
      </left>
      <right style="medium">
        <color rgb="FFFFFFFF"/>
      </right>
      <top/>
      <bottom style="medium">
        <color rgb="FFFFFFFF"/>
      </bottom>
    </border>
    <border>
      <left style="thin">
        <color auto="1"/>
      </left>
      <right/>
      <top style="thin">
        <color auto="1"/>
      </top>
      <bottom style="thin">
        <color auto="1"/>
      </bottom>
    </border>
    <border>
      <left/>
      <right style="thin">
        <color auto="1"/>
      </right>
      <top style="thin">
        <color auto="1"/>
      </top>
      <bottom style="thin">
        <color auto="1"/>
      </bottom>
    </border>
    <border>
      <left style="thin">
        <color theme="0"/>
      </left>
      <right style="thin">
        <color theme="0"/>
      </right>
      <top style="thin">
        <color auto="1"/>
      </top>
      <bottom style="thin">
        <color theme="0"/>
      </bottom>
    </border>
    <border>
      <left style="thin">
        <color theme="0"/>
      </left>
      <right/>
      <top style="thin">
        <color theme="0"/>
      </top>
      <bottom/>
    </border>
    <border>
      <left style="thin">
        <color theme="0"/>
      </left>
      <right style="thin">
        <color theme="0"/>
      </right>
      <top style="thin">
        <color theme="0"/>
      </top>
      <bottom/>
    </border>
    <border>
      <left style="thin">
        <color theme="0"/>
      </left>
      <right style="thin">
        <color auto="1"/>
      </right>
      <top style="thin">
        <color theme="0"/>
      </top>
      <bottom/>
    </border>
    <border>
      <left style="thin">
        <color auto="1"/>
      </left>
      <right style="hair">
        <color auto="1"/>
      </right>
      <top style="thin">
        <color auto="1"/>
      </top>
      <bottom style="hair">
        <color auto="1"/>
      </bottom>
    </border>
    <border>
      <left style="hair">
        <color auto="1"/>
      </left>
      <right style="hair">
        <color auto="1"/>
      </right>
      <top style="thin">
        <color auto="1"/>
      </top>
      <bottom style="hair">
        <color auto="1"/>
      </bottom>
    </border>
    <border>
      <left style="hair">
        <color auto="1"/>
      </left>
      <right style="thin">
        <color auto="1"/>
      </right>
      <top style="thin">
        <color auto="1"/>
      </top>
      <bottom style="hair">
        <color auto="1"/>
      </bottom>
    </border>
    <border>
      <left style="thin">
        <color auto="1"/>
      </left>
      <right style="hair">
        <color auto="1"/>
      </right>
      <top style="hair">
        <color auto="1"/>
      </top>
      <bottom style="hair">
        <color auto="1"/>
      </bottom>
    </border>
    <border>
      <left/>
      <right style="thin">
        <color auto="1"/>
      </right>
      <top/>
      <bottom style="thin">
        <color auto="1"/>
      </bottom>
    </border>
    <border>
      <left style="thin">
        <color auto="1"/>
      </left>
      <right style="hair">
        <color auto="1"/>
      </right>
      <top style="hair">
        <color auto="1"/>
      </top>
      <bottom/>
    </border>
    <border>
      <left style="hair">
        <color auto="1"/>
      </left>
      <right style="hair">
        <color auto="1"/>
      </right>
      <top style="hair">
        <color auto="1"/>
      </top>
      <bottom/>
    </border>
    <border>
      <left style="hair">
        <color auto="1"/>
      </left>
      <right style="thin">
        <color auto="1"/>
      </right>
      <top style="hair">
        <color auto="1"/>
      </top>
      <bottom/>
    </border>
    <border>
      <left style="thin">
        <color theme="0"/>
      </left>
      <right/>
      <top/>
      <bottom/>
    </border>
    <border>
      <left style="thin">
        <color auto="1"/>
      </left>
      <right style="hair">
        <color auto="1"/>
      </right>
      <top style="hair">
        <color auto="1"/>
      </top>
      <bottom style="thin">
        <color auto="1"/>
      </bottom>
    </border>
    <border>
      <left style="thin">
        <color auto="1"/>
      </left>
      <right style="hair">
        <color auto="1"/>
      </right>
      <top/>
      <bottom style="hair">
        <color auto="1"/>
      </bottom>
    </border>
    <border>
      <left style="thin">
        <color auto="1"/>
      </left>
      <right/>
      <top style="hair">
        <color auto="1"/>
      </top>
      <bottom/>
    </border>
    <border>
      <left style="thin">
        <color auto="1"/>
      </left>
      <right/>
      <top style="hair">
        <color auto="1"/>
      </top>
      <bottom style="thin">
        <color auto="1"/>
      </bottom>
    </border>
    <border>
      <left/>
      <right/>
      <top style="hair">
        <color auto="1"/>
      </top>
      <bottom/>
    </border>
    <border>
      <left style="thin">
        <color auto="1"/>
      </left>
      <right/>
      <top style="medium">
        <color theme="0"/>
      </top>
      <bottom style="medium">
        <color rgb="FFFFFFFF"/>
      </bottom>
    </border>
    <border>
      <left style="thin">
        <color auto="1"/>
      </left>
      <right/>
      <top style="medium">
        <color rgb="FFFFFFFF"/>
      </top>
      <bottom style="medium">
        <color rgb="FFFFFFFF"/>
      </bottom>
    </border>
    <border>
      <left style="thin">
        <color auto="1"/>
      </left>
      <right/>
      <top style="hair">
        <color auto="1"/>
      </top>
      <bottom style="hair">
        <color auto="1"/>
      </bottom>
    </border>
    <border>
      <left/>
      <right/>
      <top style="hair">
        <color auto="1"/>
      </top>
      <bottom style="hair">
        <color auto="1"/>
      </bottom>
    </border>
    <border>
      <left/>
      <right/>
      <top style="hair">
        <color auto="1"/>
      </top>
      <bottom style="thin">
        <color auto="1"/>
      </bottom>
    </border>
    <border>
      <left style="thin">
        <color auto="1"/>
      </left>
      <right style="thin">
        <color auto="1"/>
      </right>
      <top style="hair">
        <color auto="1"/>
      </top>
      <bottom/>
    </border>
    <border>
      <left/>
      <right style="medium">
        <color auto="1"/>
      </right>
      <top style="medium">
        <color auto="1"/>
      </top>
      <bottom style="medium">
        <color auto="1"/>
      </bottom>
    </border>
    <border>
      <left/>
      <right style="medium">
        <color auto="1"/>
      </right>
      <top/>
      <bottom style="medium">
        <color auto="1"/>
      </bottom>
    </border>
    <border>
      <left/>
      <right style="medium">
        <color auto="1"/>
      </right>
      <top/>
      <bottom style="thick">
        <color auto="1"/>
      </bottom>
    </border>
    <border>
      <left style="medium">
        <color auto="1"/>
      </left>
      <right style="medium">
        <color auto="1"/>
      </right>
      <top style="medium">
        <color auto="1"/>
      </top>
      <bottom style="medium">
        <color auto="1"/>
      </bottom>
    </border>
    <border>
      <left style="medium">
        <color auto="1"/>
      </left>
      <right style="medium">
        <color auto="1"/>
      </right>
      <top/>
      <bottom style="medium">
        <color auto="1"/>
      </bottom>
    </border>
    <border>
      <left style="medium">
        <color auto="1"/>
      </left>
      <right/>
      <top style="medium">
        <color auto="1"/>
      </top>
      <bottom/>
    </border>
    <border>
      <left/>
      <right/>
      <top style="medium">
        <color auto="1"/>
      </top>
      <bottom/>
    </border>
    <border>
      <left style="thick">
        <color auto="1"/>
      </left>
      <right style="medium">
        <color auto="1"/>
      </right>
      <top style="medium">
        <color auto="1"/>
      </top>
      <bottom/>
    </border>
    <border>
      <left style="thick">
        <color auto="1"/>
      </left>
      <right style="medium">
        <color auto="1"/>
      </right>
      <top/>
      <bottom style="medium">
        <color auto="1"/>
      </bottom>
    </border>
    <border>
      <left style="thick">
        <color auto="1"/>
      </left>
      <right style="medium">
        <color auto="1"/>
      </right>
      <top/>
      <bottom style="thick">
        <color auto="1"/>
      </bottom>
    </border>
    <border>
      <left style="thick">
        <color auto="1"/>
      </left>
      <right style="medium">
        <color auto="1"/>
      </right>
      <top style="thick">
        <color auto="1"/>
      </top>
      <bottom/>
    </border>
    <border>
      <left style="hair">
        <color auto="1"/>
      </left>
      <right style="hair">
        <color auto="1"/>
      </right>
      <top style="thin">
        <color auto="1"/>
      </top>
      <bottom/>
    </border>
    <border>
      <left style="hair">
        <color auto="1"/>
      </left>
      <right style="hair">
        <color auto="1"/>
      </right>
      <top/>
      <bottom/>
    </border>
    <border>
      <left style="hair">
        <color auto="1"/>
      </left>
      <right style="hair">
        <color auto="1"/>
      </right>
      <top/>
      <bottom style="thin">
        <color auto="1"/>
      </bottom>
    </border>
    <border>
      <left style="hair">
        <color auto="1"/>
      </left>
      <right style="hair">
        <color auto="1"/>
      </right>
      <top/>
      <bottom style="hair">
        <color auto="1"/>
      </bottom>
    </border>
    <border>
      <left/>
      <right style="medium">
        <color rgb="FFFFFFFF"/>
      </right>
      <top style="medium">
        <color rgb="FFFFFFFF"/>
      </top>
      <bottom style="medium">
        <color rgb="FFFFFFFF"/>
      </bottom>
    </border>
    <border>
      <left style="thin">
        <color theme="0"/>
      </left>
      <right/>
      <top/>
      <bottom style="thin">
        <color theme="0"/>
      </bottom>
    </border>
    <border>
      <left/>
      <right/>
      <top/>
      <bottom style="thin">
        <color theme="0"/>
      </bottom>
    </border>
    <border>
      <left/>
      <right style="thin">
        <color auto="1"/>
      </right>
      <top/>
      <bottom style="thin">
        <color theme="0"/>
      </bottom>
    </border>
    <border>
      <left style="thin">
        <color auto="1"/>
      </left>
      <right style="thin">
        <color theme="0"/>
      </right>
      <top style="thin">
        <color auto="1"/>
      </top>
      <bottom/>
    </border>
    <border>
      <left style="thin">
        <color auto="1"/>
      </left>
      <right style="thin">
        <color theme="0"/>
      </right>
      <top/>
      <bottom/>
    </border>
    <border>
      <left style="thin">
        <color theme="0"/>
      </left>
      <right style="thin">
        <color theme="0"/>
      </right>
      <top style="thin">
        <color auto="1"/>
      </top>
      <bottom/>
    </border>
    <border>
      <left style="thin">
        <color theme="0"/>
      </left>
      <right style="thin">
        <color theme="0"/>
      </right>
      <top/>
      <bottom style="thin">
        <color theme="0"/>
      </bottom>
    </border>
    <border>
      <left style="thin">
        <color theme="0"/>
      </left>
      <right/>
      <top style="thin">
        <color auto="1"/>
      </top>
      <bottom style="thin">
        <color theme="0"/>
      </bottom>
    </border>
    <border>
      <left/>
      <right/>
      <top style="thin">
        <color auto="1"/>
      </top>
      <bottom style="thin">
        <color theme="0"/>
      </bottom>
    </border>
    <border>
      <left/>
      <right style="thin">
        <color theme="0"/>
      </right>
      <top style="thin">
        <color auto="1"/>
      </top>
      <bottom style="thin">
        <color theme="0"/>
      </bottom>
    </border>
    <border>
      <left style="thin">
        <color theme="0"/>
      </left>
      <right style="thin">
        <color theme="0"/>
      </right>
      <top/>
      <bottom/>
    </border>
    <border>
      <left style="medium">
        <color auto="1"/>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s>
  <cellStyleXfs count="9789">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169"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alignment/>
      <protection/>
    </xf>
    <xf numFmtId="0" fontId="12" fillId="0" borderId="0">
      <alignment/>
      <protection/>
    </xf>
    <xf numFmtId="0" fontId="11" fillId="0" borderId="0">
      <alignment/>
      <protection/>
    </xf>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0" fontId="11"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8" fillId="0" borderId="0">
      <alignment/>
      <protection/>
    </xf>
    <xf numFmtId="0" fontId="18" fillId="0" borderId="0">
      <alignment/>
      <protection/>
    </xf>
    <xf numFmtId="0" fontId="0" fillId="0" borderId="0">
      <alignment/>
      <protection/>
    </xf>
    <xf numFmtId="0" fontId="11" fillId="0" borderId="0">
      <alignment/>
      <protection/>
    </xf>
    <xf numFmtId="0" fontId="0" fillId="0" borderId="0">
      <alignment/>
      <protection/>
    </xf>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9" fontId="0" fillId="0" borderId="0" applyFont="0" applyFill="0" applyBorder="0" applyAlignment="0" applyProtection="0"/>
    <xf numFmtId="0" fontId="11" fillId="24" borderId="9" applyNumberFormat="0" applyProtection="0">
      <alignment horizontal="left" vertical="center"/>
    </xf>
    <xf numFmtId="0" fontId="11" fillId="24" borderId="9" applyNumberFormat="0" applyProtection="0">
      <alignment horizontal="left" vertical="center"/>
    </xf>
    <xf numFmtId="0" fontId="28" fillId="0" borderId="0" applyNumberFormat="0" applyFill="0" applyBorder="0" applyAlignment="0" applyProtection="0"/>
    <xf numFmtId="0" fontId="29" fillId="0" borderId="10" applyNumberFormat="0" applyFill="0" applyAlignment="0" applyProtection="0"/>
    <xf numFmtId="0" fontId="30" fillId="0" borderId="0" applyNumberFormat="0" applyFill="0" applyBorder="0" applyAlignment="0" applyProtection="0"/>
    <xf numFmtId="0" fontId="16"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9" fillId="0" borderId="10" applyNumberFormat="0" applyFill="0" applyAlignment="0" applyProtection="0"/>
    <xf numFmtId="0" fontId="36" fillId="0" borderId="0" applyNumberFormat="0" applyFill="0" applyBorder="0" applyAlignment="0" applyProtection="0"/>
    <xf numFmtId="0" fontId="0" fillId="0" borderId="0">
      <alignment/>
      <protection/>
    </xf>
    <xf numFmtId="9" fontId="0" fillId="0" borderId="0" applyFont="0" applyFill="0" applyBorder="0" applyAlignment="0" applyProtection="0"/>
    <xf numFmtId="0" fontId="11" fillId="24" borderId="9" applyNumberFormat="0" applyProtection="0">
      <alignment horizontal="left" vertical="center"/>
    </xf>
    <xf numFmtId="0" fontId="11" fillId="24" borderId="9" applyNumberFormat="0" applyProtection="0">
      <alignment horizontal="left" vertical="center"/>
    </xf>
    <xf numFmtId="0" fontId="16"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9" fillId="0" borderId="10" applyNumberFormat="0" applyFill="0" applyAlignment="0" applyProtection="0"/>
    <xf numFmtId="0" fontId="16"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9" fillId="0" borderId="10" applyNumberFormat="0" applyFill="0" applyAlignment="0" applyProtection="0"/>
    <xf numFmtId="43" fontId="0"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0"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24" borderId="9" applyNumberFormat="0" applyProtection="0">
      <alignment horizontal="left" vertical="center"/>
    </xf>
    <xf numFmtId="0" fontId="11" fillId="24" borderId="9"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0"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lignment/>
      <protection/>
    </xf>
    <xf numFmtId="0" fontId="12" fillId="0" borderId="0">
      <alignment/>
      <protection/>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2" fillId="0" borderId="0">
      <alignment/>
      <protection/>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0" fillId="0" borderId="0">
      <alignment/>
      <protection/>
    </xf>
    <xf numFmtId="0" fontId="11" fillId="0" borderId="0">
      <alignment/>
      <protection/>
    </xf>
    <xf numFmtId="0" fontId="11" fillId="0" borderId="0" applyFont="0" applyFill="0" applyBorder="0" applyAlignment="0" applyProtection="0"/>
    <xf numFmtId="182" fontId="11" fillId="0" borderId="0" applyFont="0" applyFill="0" applyBorder="0" applyAlignment="0" applyProtection="0"/>
    <xf numFmtId="0" fontId="76" fillId="0" borderId="0">
      <alignment/>
      <protection/>
    </xf>
    <xf numFmtId="0" fontId="77" fillId="0" borderId="0" applyFont="0" applyFill="0" applyBorder="0" applyAlignment="0" applyProtection="0"/>
    <xf numFmtId="183" fontId="11" fillId="0" borderId="0" applyFont="0" applyFill="0" applyBorder="0" applyAlignment="0" applyProtection="0"/>
    <xf numFmtId="179" fontId="11"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1" fillId="0" borderId="0" applyFont="0" applyFill="0" applyBorder="0" applyAlignment="0" applyProtection="0"/>
    <xf numFmtId="0" fontId="76" fillId="0" borderId="0">
      <alignment/>
      <protection/>
    </xf>
    <xf numFmtId="0" fontId="11" fillId="0" borderId="0">
      <alignment vertical="top"/>
      <protection/>
    </xf>
    <xf numFmtId="0" fontId="77" fillId="0" borderId="0" applyNumberFormat="0" applyFill="0">
      <alignment horizontal="left" vertical="center" wrapText="1"/>
      <protection/>
    </xf>
    <xf numFmtId="186" fontId="11"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1" fillId="0" borderId="0" applyFont="0" applyFill="0" applyBorder="0" applyAlignment="0" applyProtection="0"/>
    <xf numFmtId="192" fontId="11" fillId="0" borderId="0" applyFont="0" applyFill="0" applyBorder="0" applyAlignment="0" applyProtection="0"/>
    <xf numFmtId="193" fontId="11"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1" fillId="0" borderId="0" applyFont="0" applyFill="0" applyBorder="0" applyAlignment="0" applyProtection="0"/>
    <xf numFmtId="176" fontId="11" fillId="0" borderId="0" applyFont="0" applyFill="0" applyBorder="0" applyAlignment="0" applyProtection="0"/>
    <xf numFmtId="196" fontId="78" fillId="0" borderId="0" applyFont="0" applyFill="0" applyBorder="0" applyAlignment="0" applyProtection="0"/>
    <xf numFmtId="196" fontId="11" fillId="0" borderId="0" applyFont="0" applyFill="0" applyBorder="0" applyAlignment="0" applyProtection="0"/>
    <xf numFmtId="197" fontId="11" fillId="0" borderId="0" applyFont="0" applyFill="0" applyBorder="0" applyAlignment="0" applyProtection="0"/>
    <xf numFmtId="198" fontId="11" fillId="0" borderId="0" applyFont="0" applyFill="0" applyBorder="0" applyAlignment="0" applyProtection="0"/>
    <xf numFmtId="199" fontId="11" fillId="0" borderId="0" applyFont="0" applyFill="0" applyBorder="0" applyAlignment="0" applyProtection="0"/>
    <xf numFmtId="0" fontId="11" fillId="0" borderId="0">
      <alignment/>
      <protection/>
    </xf>
    <xf numFmtId="0" fontId="11" fillId="0" borderId="0">
      <alignment/>
      <protection/>
    </xf>
    <xf numFmtId="9" fontId="79" fillId="0" borderId="0">
      <alignment horizontal="right"/>
      <protection/>
    </xf>
    <xf numFmtId="9" fontId="77" fillId="0" borderId="0">
      <alignment horizontal="right"/>
      <protection/>
    </xf>
    <xf numFmtId="0" fontId="11" fillId="16" borderId="1" applyNumberFormat="0">
      <alignment horizontal="centerContinuous" vertical="center" wrapText="1"/>
      <protection/>
    </xf>
    <xf numFmtId="0" fontId="11" fillId="25" borderId="1" applyNumberFormat="0">
      <alignment horizontal="left" vertical="center"/>
      <protection/>
    </xf>
    <xf numFmtId="170" fontId="80" fillId="0" borderId="0" applyFont="0" applyFill="0" applyBorder="0" applyAlignment="0" applyProtection="0"/>
    <xf numFmtId="0" fontId="11" fillId="0" borderId="0">
      <alignment/>
      <protection/>
    </xf>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8" fillId="0" borderId="0">
      <alignment/>
      <protection/>
    </xf>
    <xf numFmtId="0" fontId="77" fillId="0" borderId="0" applyNumberFormat="0" applyFill="0">
      <alignment horizontal="left" vertical="center" wrapText="1"/>
      <protection/>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4" borderId="0" applyFont="0" applyFill="0" applyProtection="0">
      <alignment/>
    </xf>
    <xf numFmtId="182" fontId="11" fillId="0" borderId="0">
      <alignment/>
      <protection/>
    </xf>
    <xf numFmtId="202" fontId="83" fillId="0" borderId="0" applyFill="0" applyBorder="0" applyProtection="0">
      <alignment/>
    </xf>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0" fillId="26" borderId="0" applyNumberFormat="0" applyBorder="0" applyAlignment="0" applyProtection="0"/>
    <xf numFmtId="0" fontId="39"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39" fillId="26" borderId="0" applyNumberFormat="0" applyBorder="0" applyAlignment="0" applyProtection="0"/>
    <xf numFmtId="0" fontId="0"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84"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6" borderId="0" applyNumberFormat="0" applyBorder="0" applyAlignment="0" applyProtection="0"/>
    <xf numFmtId="0" fontId="0" fillId="27" borderId="0" applyNumberFormat="0" applyBorder="0" applyAlignment="0" applyProtection="0"/>
    <xf numFmtId="0" fontId="39"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39" fillId="27" borderId="0" applyNumberFormat="0" applyBorder="0" applyAlignment="0" applyProtection="0"/>
    <xf numFmtId="0" fontId="0"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84"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39"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39" fillId="28" borderId="0" applyNumberFormat="0" applyBorder="0" applyAlignment="0" applyProtection="0"/>
    <xf numFmtId="0" fontId="0"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84"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8" borderId="0" applyNumberFormat="0" applyBorder="0" applyAlignment="0" applyProtection="0"/>
    <xf numFmtId="0" fontId="0" fillId="29" borderId="0" applyNumberFormat="0" applyBorder="0" applyAlignment="0" applyProtection="0"/>
    <xf numFmtId="0" fontId="39"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39" fillId="29" borderId="0" applyNumberFormat="0" applyBorder="0" applyAlignment="0" applyProtection="0"/>
    <xf numFmtId="0" fontId="0"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84"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29" borderId="0" applyNumberFormat="0" applyBorder="0" applyAlignment="0" applyProtection="0"/>
    <xf numFmtId="0" fontId="0" fillId="30" borderId="0" applyNumberFormat="0" applyBorder="0" applyAlignment="0" applyProtection="0"/>
    <xf numFmtId="0" fontId="39"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39" fillId="30" borderId="0" applyNumberFormat="0" applyBorder="0" applyAlignment="0" applyProtection="0"/>
    <xf numFmtId="0" fontId="0"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84"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0" borderId="0" applyNumberFormat="0" applyBorder="0" applyAlignment="0" applyProtection="0"/>
    <xf numFmtId="0" fontId="0" fillId="31" borderId="0" applyNumberFormat="0" applyBorder="0" applyAlignment="0" applyProtection="0"/>
    <xf numFmtId="0" fontId="39"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39" fillId="31" borderId="0" applyNumberFormat="0" applyBorder="0" applyAlignment="0" applyProtection="0"/>
    <xf numFmtId="0" fontId="0"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84"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0" fillId="31"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0" fillId="32" borderId="0" applyNumberFormat="0" applyBorder="0" applyAlignment="0" applyProtection="0"/>
    <xf numFmtId="0" fontId="39"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39" fillId="32" borderId="0" applyNumberFormat="0" applyBorder="0" applyAlignment="0" applyProtection="0"/>
    <xf numFmtId="0" fontId="0"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84"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2" borderId="0" applyNumberFormat="0" applyBorder="0" applyAlignment="0" applyProtection="0"/>
    <xf numFmtId="0" fontId="0" fillId="33" borderId="0" applyNumberFormat="0" applyBorder="0" applyAlignment="0" applyProtection="0"/>
    <xf numFmtId="0" fontId="39"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39" fillId="33" borderId="0" applyNumberFormat="0" applyBorder="0" applyAlignment="0" applyProtection="0"/>
    <xf numFmtId="0" fontId="0"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84"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3" borderId="0" applyNumberFormat="0" applyBorder="0" applyAlignment="0" applyProtection="0"/>
    <xf numFmtId="0" fontId="0" fillId="34" borderId="0" applyNumberFormat="0" applyBorder="0" applyAlignment="0" applyProtection="0"/>
    <xf numFmtId="0" fontId="39"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39" fillId="34" borderId="0" applyNumberFormat="0" applyBorder="0" applyAlignment="0" applyProtection="0"/>
    <xf numFmtId="0" fontId="0"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84"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4" borderId="0" applyNumberFormat="0" applyBorder="0" applyAlignment="0" applyProtection="0"/>
    <xf numFmtId="0" fontId="0" fillId="35" borderId="0" applyNumberFormat="0" applyBorder="0" applyAlignment="0" applyProtection="0"/>
    <xf numFmtId="0" fontId="39"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39" fillId="35" borderId="0" applyNumberFormat="0" applyBorder="0" applyAlignment="0" applyProtection="0"/>
    <xf numFmtId="0" fontId="0"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84"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5" borderId="0" applyNumberFormat="0" applyBorder="0" applyAlignment="0" applyProtection="0"/>
    <xf numFmtId="0" fontId="0" fillId="36" borderId="0" applyNumberFormat="0" applyBorder="0" applyAlignment="0" applyProtection="0"/>
    <xf numFmtId="0" fontId="39"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39" fillId="36" borderId="0" applyNumberFormat="0" applyBorder="0" applyAlignment="0" applyProtection="0"/>
    <xf numFmtId="0" fontId="0"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84"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6" borderId="0" applyNumberFormat="0" applyBorder="0" applyAlignment="0" applyProtection="0"/>
    <xf numFmtId="0" fontId="0" fillId="37" borderId="0" applyNumberFormat="0" applyBorder="0" applyAlignment="0" applyProtection="0"/>
    <xf numFmtId="0" fontId="39"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39" fillId="37" borderId="0" applyNumberFormat="0" applyBorder="0" applyAlignment="0" applyProtection="0"/>
    <xf numFmtId="0" fontId="0"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0" fillId="37"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73" fillId="38" borderId="0" applyNumberFormat="0" applyBorder="0" applyAlignment="0" applyProtection="0"/>
    <xf numFmtId="0" fontId="73" fillId="3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73" fillId="41" borderId="0" applyNumberFormat="0" applyBorder="0" applyAlignment="0" applyProtection="0"/>
    <xf numFmtId="0" fontId="7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203" fontId="11" fillId="0" borderId="11">
      <alignment horizontal="right"/>
      <protection/>
    </xf>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167" fontId="85" fillId="0" borderId="0" applyFont="0">
      <alignment/>
      <protection/>
    </xf>
    <xf numFmtId="167" fontId="85" fillId="0" borderId="12" applyFont="0">
      <alignment/>
      <protection/>
    </xf>
    <xf numFmtId="168" fontId="85" fillId="0" borderId="0" applyFont="0">
      <alignment/>
      <protection/>
    </xf>
    <xf numFmtId="204" fontId="86" fillId="0" borderId="11">
      <alignment horizontal="right"/>
      <protection/>
    </xf>
    <xf numFmtId="204" fontId="86" fillId="0" borderId="11" applyFill="0">
      <alignment horizontal="right"/>
      <protection/>
    </xf>
    <xf numFmtId="3" fontId="11" fillId="0" borderId="11" applyFill="0">
      <alignment horizontal="right"/>
      <protection/>
    </xf>
    <xf numFmtId="205" fontId="86" fillId="0" borderId="11" applyFill="0">
      <alignment horizontal="right"/>
      <protection/>
    </xf>
    <xf numFmtId="206" fontId="10" fillId="8" borderId="13">
      <alignment horizontal="center" vertical="center"/>
      <protection/>
    </xf>
    <xf numFmtId="0" fontId="11" fillId="0" borderId="0">
      <alignment/>
      <protection/>
    </xf>
    <xf numFmtId="182" fontId="87" fillId="0" borderId="0">
      <alignment/>
      <protection/>
    </xf>
    <xf numFmtId="0" fontId="11" fillId="0" borderId="0">
      <alignment/>
      <protection/>
    </xf>
    <xf numFmtId="207" fontId="11" fillId="0" borderId="11">
      <alignment horizontal="right"/>
      <protection locked="0"/>
    </xf>
    <xf numFmtId="0" fontId="86" fillId="0" borderId="11" applyNumberFormat="0" applyFont="0" applyBorder="0" applyProtection="0">
      <alignment horizontal="right"/>
    </xf>
    <xf numFmtId="208" fontId="88" fillId="50" borderId="14">
      <alignment/>
      <protection/>
    </xf>
    <xf numFmtId="0" fontId="11" fillId="0" borderId="0" applyNumberFormat="0" applyFill="0" applyBorder="0" applyAlignment="0" applyProtection="0"/>
    <xf numFmtId="0" fontId="89" fillId="0" borderId="0" applyNumberFormat="0" applyFill="0" applyBorder="0" applyAlignment="0" applyProtection="0"/>
    <xf numFmtId="0" fontId="90" fillId="0" borderId="0">
      <alignment/>
      <protection/>
    </xf>
    <xf numFmtId="0" fontId="30" fillId="0" borderId="0" applyNumberFormat="0" applyFill="0" applyBorder="0" applyAlignment="0" applyProtection="0"/>
    <xf numFmtId="0" fontId="91" fillId="51"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92" fillId="52" borderId="15" applyNumberFormat="0" applyBorder="0">
      <alignment/>
      <protection hidden="1"/>
    </xf>
    <xf numFmtId="0" fontId="93" fillId="23" borderId="0">
      <alignment/>
      <protection/>
    </xf>
    <xf numFmtId="0" fontId="94" fillId="0" borderId="0" applyAlignment="0">
      <protection/>
    </xf>
    <xf numFmtId="0" fontId="95" fillId="0" borderId="16" applyNumberFormat="0" applyFill="0" applyAlignment="0" applyProtection="0"/>
    <xf numFmtId="0" fontId="96" fillId="0" borderId="17" applyNumberFormat="0" applyFont="0" applyFill="0" applyAlignment="0" applyProtection="0"/>
    <xf numFmtId="0" fontId="97" fillId="0" borderId="18" applyNumberFormat="0" applyFont="0" applyFill="0" applyProtection="0">
      <alignment/>
    </xf>
    <xf numFmtId="0" fontId="81" fillId="0" borderId="16" applyNumberFormat="0" applyFont="0" applyFill="0" applyAlignment="0" applyProtection="0"/>
    <xf numFmtId="0" fontId="81" fillId="0" borderId="15" applyNumberFormat="0" applyFont="0" applyFill="0" applyAlignment="0" applyProtection="0"/>
    <xf numFmtId="0" fontId="81" fillId="0" borderId="19" applyNumberFormat="0" applyFont="0" applyFill="0" applyAlignment="0" applyProtection="0"/>
    <xf numFmtId="0" fontId="81" fillId="0" borderId="20" applyNumberFormat="0" applyFont="0" applyFill="0" applyAlignment="0" applyProtection="0"/>
    <xf numFmtId="209" fontId="11" fillId="0" borderId="0" applyFont="0" applyFill="0" applyBorder="0" applyAlignment="0" applyProtection="0"/>
    <xf numFmtId="0" fontId="78" fillId="0" borderId="0">
      <alignment horizontal="right"/>
      <protection/>
    </xf>
    <xf numFmtId="0" fontId="82" fillId="0" borderId="0" applyFont="0" applyFill="0" applyBorder="0" applyAlignment="0" applyProtection="0"/>
    <xf numFmtId="210" fontId="78" fillId="0" borderId="0" applyFill="0" applyBorder="0" applyAlignment="0">
      <protection/>
    </xf>
    <xf numFmtId="211" fontId="78" fillId="0" borderId="0" applyFill="0" applyBorder="0" applyAlignment="0">
      <protection/>
    </xf>
    <xf numFmtId="173" fontId="78" fillId="0" borderId="0" applyFill="0" applyBorder="0" applyAlignment="0">
      <protection/>
    </xf>
    <xf numFmtId="212" fontId="78" fillId="0" borderId="0" applyFill="0" applyBorder="0" applyAlignment="0">
      <protection/>
    </xf>
    <xf numFmtId="173" fontId="11" fillId="0" borderId="0" applyFill="0" applyBorder="0" applyAlignment="0">
      <protection/>
    </xf>
    <xf numFmtId="210" fontId="78" fillId="0" borderId="0" applyFill="0" applyBorder="0" applyAlignment="0">
      <protection/>
    </xf>
    <xf numFmtId="212" fontId="11" fillId="0" borderId="0" applyFill="0" applyBorder="0" applyAlignment="0">
      <protection/>
    </xf>
    <xf numFmtId="211" fontId="78" fillId="0" borderId="0" applyFill="0" applyBorder="0" applyAlignment="0">
      <protection/>
    </xf>
    <xf numFmtId="0" fontId="16" fillId="20" borderId="1" applyNumberFormat="0" applyAlignment="0" applyProtection="0"/>
    <xf numFmtId="0" fontId="98" fillId="53" borderId="21" applyNumberFormat="0" applyAlignment="0" applyProtection="0"/>
    <xf numFmtId="0" fontId="98" fillId="53" borderId="21" applyNumberFormat="0" applyAlignment="0" applyProtection="0"/>
    <xf numFmtId="0" fontId="98" fillId="53" borderId="21" applyNumberFormat="0" applyAlignment="0" applyProtection="0"/>
    <xf numFmtId="0" fontId="98" fillId="53" borderId="21" applyNumberFormat="0" applyAlignment="0" applyProtection="0"/>
    <xf numFmtId="0" fontId="98" fillId="53" borderId="21" applyNumberFormat="0" applyAlignment="0" applyProtection="0"/>
    <xf numFmtId="0" fontId="68" fillId="53" borderId="21" applyNumberFormat="0" applyAlignment="0" applyProtection="0"/>
    <xf numFmtId="0" fontId="68" fillId="53" borderId="21" applyNumberFormat="0" applyAlignment="0" applyProtection="0"/>
    <xf numFmtId="0" fontId="96" fillId="54" borderId="0" applyNumberFormat="0" applyFont="0" applyBorder="0">
      <alignment/>
      <protection/>
    </xf>
    <xf numFmtId="0" fontId="25" fillId="0" borderId="6" applyNumberFormat="0" applyFill="0" applyAlignment="0" applyProtection="0"/>
    <xf numFmtId="213" fontId="11" fillId="0" borderId="0" applyFont="0" applyFill="0" applyBorder="0" applyProtection="0">
      <alignment horizontal="center" vertical="center"/>
    </xf>
    <xf numFmtId="0" fontId="50" fillId="55" borderId="22" applyNumberFormat="0" applyAlignment="0" applyProtection="0"/>
    <xf numFmtId="0" fontId="50" fillId="55" borderId="22" applyNumberFormat="0" applyAlignment="0" applyProtection="0"/>
    <xf numFmtId="0" fontId="50" fillId="55" borderId="22" applyNumberFormat="0" applyAlignment="0" applyProtection="0"/>
    <xf numFmtId="0" fontId="50" fillId="55" borderId="22" applyNumberFormat="0" applyAlignment="0" applyProtection="0"/>
    <xf numFmtId="0" fontId="50" fillId="55" borderId="22" applyNumberFormat="0" applyAlignment="0" applyProtection="0"/>
    <xf numFmtId="0" fontId="50" fillId="55" borderId="22" applyNumberFormat="0" applyAlignment="0" applyProtection="0"/>
    <xf numFmtId="0" fontId="50" fillId="55" borderId="22" applyNumberFormat="0" applyAlignment="0" applyProtection="0"/>
    <xf numFmtId="0" fontId="70" fillId="55" borderId="22" applyNumberFormat="0" applyAlignment="0" applyProtection="0"/>
    <xf numFmtId="0" fontId="70" fillId="55" borderId="22" applyNumberFormat="0" applyAlignment="0" applyProtection="0"/>
    <xf numFmtId="0" fontId="11" fillId="0" borderId="0" applyNumberFormat="0" applyFont="0" applyFill="0" applyAlignment="0" applyProtection="0"/>
    <xf numFmtId="0" fontId="95" fillId="0" borderId="16" applyNumberFormat="0" applyFill="0" applyProtection="0">
      <alignment horizontal="left" vertical="center"/>
    </xf>
    <xf numFmtId="0" fontId="99" fillId="0" borderId="0">
      <alignment horizontal="center" wrapText="1"/>
      <protection hidden="1"/>
    </xf>
    <xf numFmtId="0" fontId="100" fillId="0" borderId="0">
      <alignment horizontal="right"/>
      <protection/>
    </xf>
    <xf numFmtId="171" fontId="83" fillId="0" borderId="0" applyBorder="0">
      <alignment horizontal="right"/>
      <protection/>
    </xf>
    <xf numFmtId="171" fontId="83" fillId="0" borderId="17">
      <alignment/>
      <protection/>
    </xf>
    <xf numFmtId="215" fontId="78" fillId="0" borderId="0">
      <alignment/>
      <protection/>
    </xf>
    <xf numFmtId="215" fontId="78" fillId="0" borderId="0">
      <alignment/>
      <protection/>
    </xf>
    <xf numFmtId="215" fontId="78" fillId="0" borderId="0">
      <alignment/>
      <protection/>
    </xf>
    <xf numFmtId="215" fontId="78" fillId="0" borderId="0">
      <alignment/>
      <protection/>
    </xf>
    <xf numFmtId="215" fontId="78" fillId="0" borderId="0">
      <alignment/>
      <protection/>
    </xf>
    <xf numFmtId="215" fontId="78" fillId="0" borderId="0">
      <alignment/>
      <protection/>
    </xf>
    <xf numFmtId="215" fontId="78" fillId="0" borderId="0">
      <alignment/>
      <protection/>
    </xf>
    <xf numFmtId="215" fontId="78" fillId="0" borderId="0">
      <alignment/>
      <protection/>
    </xf>
    <xf numFmtId="168" fontId="101" fillId="0" borderId="0" applyFont="0" applyBorder="0">
      <alignment horizontal="right"/>
      <protection/>
    </xf>
    <xf numFmtId="210" fontId="78" fillId="0" borderId="0" applyFont="0" applyFill="0" applyBorder="0" applyAlignment="0" applyProtection="0"/>
    <xf numFmtId="216" fontId="11" fillId="0" borderId="0" applyFont="0">
      <alignment/>
      <protection/>
    </xf>
    <xf numFmtId="0" fontId="102" fillId="0" borderId="0" applyFont="0" applyFill="0" applyBorder="0" applyProtection="0">
      <alignment horizontal="right"/>
    </xf>
    <xf numFmtId="0" fontId="102" fillId="0" borderId="0" applyFont="0" applyFill="0" applyBorder="0" applyProtection="0">
      <alignment horizontal="right"/>
    </xf>
    <xf numFmtId="176" fontId="11" fillId="0" borderId="0" applyFont="0" applyFill="0" applyBorder="0" applyProtection="0">
      <alignment/>
    </xf>
    <xf numFmtId="217" fontId="11" fillId="0" borderId="0" applyFont="0" applyFill="0" applyBorder="0" applyAlignment="0" applyProtection="0"/>
    <xf numFmtId="170" fontId="0"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3" fillId="0" borderId="0" applyFont="0" applyFill="0" applyBorder="0" applyAlignment="0" applyProtection="0"/>
    <xf numFmtId="170" fontId="0"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03" fillId="0" borderId="0" applyFont="0" applyFill="0" applyBorder="0" applyAlignment="0" applyProtection="0"/>
    <xf numFmtId="43" fontId="11" fillId="0" borderId="0" applyFont="0" applyFill="0" applyBorder="0" applyAlignment="0" applyProtection="0"/>
    <xf numFmtId="181" fontId="11" fillId="0" borderId="0" applyFont="0" applyFill="0" applyBorder="0" applyProtection="0">
      <alignment/>
    </xf>
    <xf numFmtId="181" fontId="11" fillId="0" borderId="0" applyFont="0" applyFill="0" applyBorder="0" applyProtection="0">
      <alignment/>
    </xf>
    <xf numFmtId="181" fontId="11" fillId="0" borderId="0" applyFont="0" applyFill="0" applyBorder="0" applyProtection="0">
      <alignment/>
    </xf>
    <xf numFmtId="181" fontId="11" fillId="0" borderId="0" applyFont="0" applyFill="0" applyBorder="0" applyProtection="0">
      <alignment/>
    </xf>
    <xf numFmtId="170" fontId="11" fillId="0" borderId="0" applyFont="0" applyFill="0" applyBorder="0" applyAlignment="0" applyProtection="0"/>
    <xf numFmtId="170" fontId="103" fillId="0" borderId="0" applyFont="0" applyFill="0" applyBorder="0" applyAlignment="0" applyProtection="0"/>
    <xf numFmtId="181" fontId="11" fillId="0" borderId="0" applyFont="0" applyFill="0" applyBorder="0" applyProtection="0">
      <alignment/>
    </xf>
    <xf numFmtId="181" fontId="11" fillId="0" borderId="0" applyFont="0" applyFill="0" applyBorder="0" applyProtection="0">
      <alignment/>
    </xf>
    <xf numFmtId="181" fontId="11" fillId="0" borderId="0" applyFont="0" applyFill="0" applyBorder="0" applyProtection="0">
      <alignment/>
    </xf>
    <xf numFmtId="181" fontId="11" fillId="0" borderId="0" applyFont="0" applyFill="0" applyBorder="0" applyProtection="0">
      <alignmen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218" fontId="104" fillId="0" borderId="0" applyFont="0" applyFill="0" applyBorder="0" applyAlignment="0" applyProtection="0"/>
    <xf numFmtId="170" fontId="13"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43" fontId="89"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75"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43" fontId="105"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43" fontId="11"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43"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43" fontId="105"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43" fontId="106"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78"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0" fillId="0" borderId="0" applyFont="0" applyFill="0" applyBorder="0" applyAlignment="0" applyProtection="0"/>
    <xf numFmtId="170" fontId="84"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170" fontId="0" fillId="0" borderId="0" applyFont="0" applyFill="0" applyBorder="0" applyAlignment="0" applyProtection="0"/>
    <xf numFmtId="3" fontId="107" fillId="0" borderId="0" applyFont="0" applyFill="0" applyBorder="0" applyAlignment="0" applyProtection="0"/>
    <xf numFmtId="182" fontId="108" fillId="0" borderId="0">
      <alignment/>
      <protection/>
    </xf>
    <xf numFmtId="0" fontId="109" fillId="0" borderId="0">
      <alignment/>
      <protection/>
    </xf>
    <xf numFmtId="0" fontId="11" fillId="23" borderId="7" applyNumberFormat="0" applyFont="0" applyAlignment="0" applyProtection="0"/>
    <xf numFmtId="0" fontId="110" fillId="56" borderId="0">
      <alignment horizontal="center" vertical="center" wrapText="1"/>
      <protection/>
    </xf>
    <xf numFmtId="219" fontId="11" fillId="0" borderId="0" applyFill="0" applyBorder="0">
      <alignment horizontal="right"/>
      <protection locked="0"/>
    </xf>
    <xf numFmtId="211" fontId="78" fillId="0" borderId="0" applyFont="0" applyFill="0" applyBorder="0" applyAlignment="0" applyProtection="0"/>
    <xf numFmtId="220" fontId="35" fillId="0" borderId="0">
      <alignment horizontal="right"/>
      <protection/>
    </xf>
    <xf numFmtId="166" fontId="111" fillId="0" borderId="23">
      <alignment/>
      <protection locked="0"/>
    </xf>
    <xf numFmtId="0" fontId="102" fillId="0" borderId="0" applyFont="0" applyFill="0" applyBorder="0" applyProtection="0">
      <alignment horizontal="right"/>
    </xf>
    <xf numFmtId="191" fontId="11" fillId="0" borderId="0" applyFont="0" applyFill="0" applyBorder="0" applyProtection="0">
      <alignment/>
    </xf>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3" fillId="0" borderId="0" applyFont="0" applyFill="0" applyBorder="0" applyAlignment="0" applyProtection="0"/>
    <xf numFmtId="169" fontId="9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1"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8"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8"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1" fillId="0" borderId="0" applyFont="0" applyFill="0" applyBorder="0" applyAlignment="0" applyProtection="0"/>
    <xf numFmtId="169" fontId="11" fillId="0" borderId="0" applyFont="0" applyFill="0" applyBorder="0" applyAlignment="0" applyProtection="0"/>
    <xf numFmtId="169" fontId="0" fillId="0" borderId="0" applyFont="0" applyFill="0" applyBorder="0" applyAlignment="0" applyProtection="0"/>
    <xf numFmtId="44" fontId="105" fillId="0" borderId="0" applyFont="0" applyFill="0" applyBorder="0" applyAlignment="0" applyProtection="0"/>
    <xf numFmtId="44" fontId="11" fillId="0" borderId="0" applyFont="0" applyFill="0" applyBorder="0" applyAlignment="0" applyProtection="0"/>
    <xf numFmtId="221" fontId="11" fillId="0" borderId="0" applyFont="0" applyFill="0" applyBorder="0" applyProtection="0">
      <alignment/>
    </xf>
    <xf numFmtId="221" fontId="11" fillId="0" borderId="0" applyFont="0" applyFill="0" applyBorder="0" applyProtection="0">
      <alignment/>
    </xf>
    <xf numFmtId="221" fontId="11" fillId="0" borderId="0" applyFont="0" applyFill="0" applyBorder="0" applyProtection="0">
      <alignment/>
    </xf>
    <xf numFmtId="221" fontId="11" fillId="0" borderId="0" applyFont="0" applyFill="0" applyBorder="0" applyProtection="0">
      <alignment/>
    </xf>
    <xf numFmtId="169" fontId="11" fillId="0" borderId="0" applyFont="0" applyFill="0" applyBorder="0" applyAlignment="0" applyProtection="0"/>
    <xf numFmtId="169" fontId="18" fillId="0" borderId="0" applyFont="0" applyFill="0" applyBorder="0" applyAlignment="0" applyProtection="0"/>
    <xf numFmtId="44" fontId="0" fillId="0" borderId="0" applyFont="0" applyFill="0" applyBorder="0" applyAlignment="0" applyProtection="0"/>
    <xf numFmtId="221" fontId="11" fillId="0" borderId="0" applyFont="0" applyFill="0" applyBorder="0" applyProtection="0">
      <alignment/>
    </xf>
    <xf numFmtId="221" fontId="11" fillId="0" borderId="0" applyFont="0" applyFill="0" applyBorder="0" applyProtection="0">
      <alignment/>
    </xf>
    <xf numFmtId="221" fontId="11" fillId="0" borderId="0" applyFont="0" applyFill="0" applyBorder="0" applyProtection="0">
      <alignment/>
    </xf>
    <xf numFmtId="221" fontId="11" fillId="0" borderId="0" applyFont="0" applyFill="0" applyBorder="0" applyProtection="0">
      <alignment/>
    </xf>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222" fontId="112"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44"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44" fontId="11"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75" fillId="0" borderId="0" applyFont="0" applyFill="0" applyBorder="0" applyAlignment="0" applyProtection="0"/>
    <xf numFmtId="169" fontId="0" fillId="0" borderId="0" applyFont="0" applyFill="0" applyBorder="0" applyAlignment="0" applyProtection="0"/>
    <xf numFmtId="169" fontId="11" fillId="0" borderId="0" applyFont="0" applyFill="0" applyBorder="0" applyAlignment="0" applyProtection="0"/>
    <xf numFmtId="169" fontId="0" fillId="0" borderId="0" applyFont="0" applyFill="0" applyBorder="0" applyAlignment="0" applyProtection="0"/>
    <xf numFmtId="169" fontId="18" fillId="0" borderId="0" applyFont="0" applyFill="0" applyBorder="0" applyAlignment="0" applyProtection="0"/>
    <xf numFmtId="169" fontId="0"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1"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44" fontId="11"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8"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8"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18"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169" fontId="0" fillId="0" borderId="0" applyFont="0" applyFill="0" applyBorder="0" applyAlignment="0" applyProtection="0"/>
    <xf numFmtId="223" fontId="78" fillId="0" borderId="0" applyFont="0" applyFill="0" applyBorder="0" applyProtection="0">
      <alignment horizontal="right"/>
    </xf>
    <xf numFmtId="224" fontId="106" fillId="0" borderId="24" applyFont="0" applyFill="0" applyBorder="0" applyAlignment="0" applyProtection="0"/>
    <xf numFmtId="225" fontId="86" fillId="0" borderId="0" applyFont="0" applyFill="0" applyBorder="0" applyProtection="0">
      <alignment/>
    </xf>
    <xf numFmtId="226" fontId="86" fillId="0" borderId="0" applyFont="0" applyFill="0" applyBorder="0" applyProtection="0">
      <alignment/>
    </xf>
    <xf numFmtId="0" fontId="99" fillId="0" borderId="0" applyFont="0" applyFill="0" applyBorder="0" applyAlignment="0">
      <protection locked="0"/>
    </xf>
    <xf numFmtId="0" fontId="82" fillId="0" borderId="0" applyFont="0" applyFill="0" applyBorder="0" applyAlignment="0" applyProtection="0"/>
    <xf numFmtId="0" fontId="76" fillId="0" borderId="25" applyNumberFormat="0" applyFill="0">
      <alignment horizontal="right"/>
      <protection/>
    </xf>
    <xf numFmtId="0" fontId="76" fillId="0" borderId="25" applyNumberFormat="0" applyFill="0">
      <alignment horizontal="right"/>
      <protection/>
    </xf>
    <xf numFmtId="1" fontId="113" fillId="0" borderId="0">
      <alignment/>
      <protection/>
    </xf>
    <xf numFmtId="228" fontId="96" fillId="0" borderId="0" applyFont="0" applyFill="0" applyBorder="0" applyProtection="0">
      <alignment horizontal="right"/>
    </xf>
    <xf numFmtId="229" fontId="79" fillId="23" borderId="26"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16" applyFont="0" applyFill="0" applyBorder="0" applyAlignment="0" applyProtection="0"/>
    <xf numFmtId="183" fontId="11" fillId="0" borderId="0" applyFont="0" applyFill="0" applyBorder="0" applyAlignment="0" applyProtection="0"/>
    <xf numFmtId="232" fontId="104" fillId="0" borderId="0" applyFont="0" applyFill="0" applyBorder="0" applyAlignment="0" applyProtection="0"/>
    <xf numFmtId="14" fontId="18" fillId="0" borderId="0" applyFill="0" applyBorder="0" applyAlignment="0">
      <protection/>
    </xf>
    <xf numFmtId="0" fontId="11" fillId="0" borderId="0">
      <alignment horizontal="left" vertical="top"/>
      <protection/>
    </xf>
    <xf numFmtId="167" fontId="114" fillId="0" borderId="0">
      <alignment/>
      <protection/>
    </xf>
    <xf numFmtId="0" fontId="106" fillId="0" borderId="0">
      <alignment/>
      <protection/>
    </xf>
    <xf numFmtId="168" fontId="11" fillId="0" borderId="0" applyFont="0" applyFill="0" applyBorder="0" applyAlignment="0" applyProtection="0"/>
    <xf numFmtId="170" fontId="11" fillId="0" borderId="0" applyFont="0" applyFill="0" applyBorder="0" applyAlignment="0" applyProtection="0"/>
    <xf numFmtId="0" fontId="115" fillId="0" borderId="0">
      <alignment/>
      <protection locked="0"/>
    </xf>
    <xf numFmtId="0" fontId="11" fillId="0" borderId="0">
      <alignment/>
      <protection/>
    </xf>
    <xf numFmtId="167" fontId="78" fillId="0" borderId="0">
      <alignment/>
      <protection/>
    </xf>
    <xf numFmtId="0" fontId="11" fillId="0" borderId="27" applyNumberFormat="0" applyFont="0" applyFill="0" applyAlignment="0" applyProtection="0"/>
    <xf numFmtId="0" fontId="11" fillId="0" borderId="27" applyNumberFormat="0" applyFont="0" applyFill="0" applyAlignment="0" applyProtection="0"/>
    <xf numFmtId="0" fontId="11" fillId="0" borderId="27" applyNumberFormat="0" applyFont="0" applyFill="0" applyAlignment="0" applyProtection="0"/>
    <xf numFmtId="167" fontId="116" fillId="0" borderId="0" applyFill="0" applyBorder="0" applyAlignment="0" applyProtection="0"/>
    <xf numFmtId="1" fontId="96" fillId="0" borderId="0">
      <alignment/>
      <protection/>
    </xf>
    <xf numFmtId="233" fontId="117" fillId="0" borderId="0">
      <alignment/>
      <protection locked="0"/>
    </xf>
    <xf numFmtId="233" fontId="117" fillId="0" borderId="0">
      <alignment/>
      <protection locked="0"/>
    </xf>
    <xf numFmtId="210" fontId="78" fillId="0" borderId="0" applyFill="0" applyBorder="0" applyAlignment="0">
      <protection/>
    </xf>
    <xf numFmtId="211" fontId="78" fillId="0" borderId="0" applyFill="0" applyBorder="0" applyAlignment="0">
      <protection/>
    </xf>
    <xf numFmtId="210" fontId="78" fillId="0" borderId="0" applyFill="0" applyBorder="0" applyAlignment="0">
      <protection/>
    </xf>
    <xf numFmtId="212" fontId="11" fillId="0" borderId="0" applyFill="0" applyBorder="0" applyAlignment="0">
      <protection/>
    </xf>
    <xf numFmtId="211" fontId="78" fillId="0" borderId="0" applyFill="0" applyBorder="0" applyAlignment="0">
      <protection/>
    </xf>
    <xf numFmtId="0" fontId="24" fillId="7" borderId="1"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57" borderId="15">
      <alignment horizontal="left"/>
      <protection/>
    </xf>
    <xf numFmtId="0" fontId="119" fillId="58" borderId="28" applyNumberFormat="0" applyBorder="0">
      <alignment/>
      <protection locked="0"/>
    </xf>
    <xf numFmtId="236" fontId="11" fillId="0" borderId="0">
      <alignment/>
      <protection locked="0"/>
    </xf>
    <xf numFmtId="214" fontId="11" fillId="0" borderId="0">
      <alignment/>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59" borderId="0" applyNumberFormat="0" applyBorder="0" applyAlignment="0" applyProtection="0"/>
    <xf numFmtId="0" fontId="122" fillId="59" borderId="0" applyNumberFormat="0" applyBorder="0" applyAlignment="0" applyProtection="0"/>
    <xf numFmtId="0" fontId="122" fillId="59" borderId="0" applyNumberFormat="0" applyBorder="0" applyAlignment="0" applyProtection="0"/>
    <xf numFmtId="0" fontId="122" fillId="59" borderId="0" applyNumberFormat="0" applyBorder="0" applyAlignment="0" applyProtection="0"/>
    <xf numFmtId="0" fontId="122" fillId="59" borderId="0" applyNumberFormat="0" applyBorder="0" applyAlignment="0" applyProtection="0"/>
    <xf numFmtId="0" fontId="122" fillId="59" borderId="0" applyNumberFormat="0" applyBorder="0" applyAlignment="0" applyProtection="0"/>
    <xf numFmtId="0" fontId="122" fillId="59" borderId="0" applyNumberFormat="0" applyBorder="0" applyAlignment="0" applyProtection="0"/>
    <xf numFmtId="0" fontId="63" fillId="59" borderId="0" applyNumberFormat="0" applyBorder="0" applyAlignment="0" applyProtection="0"/>
    <xf numFmtId="0" fontId="63" fillId="59" borderId="0" applyNumberFormat="0" applyBorder="0" applyAlignment="0" applyProtection="0"/>
    <xf numFmtId="0" fontId="106" fillId="20" borderId="0" applyNumberFormat="0" applyBorder="0" applyAlignment="0" applyProtection="0"/>
    <xf numFmtId="0" fontId="123" fillId="0" borderId="0" applyNumberFormat="0">
      <alignment horizontal="righ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4" borderId="9" applyNumberFormat="0" applyFont="0" applyBorder="0" applyAlignment="0" applyProtection="0"/>
    <xf numFmtId="186" fontId="11" fillId="0" borderId="0" applyFont="0" applyFill="0" applyBorder="0" applyProtection="0">
      <alignment/>
    </xf>
    <xf numFmtId="0" fontId="124" fillId="4" borderId="0" applyNumberFormat="0" applyFont="0" applyAlignment="0">
      <protection/>
    </xf>
    <xf numFmtId="0" fontId="125" fillId="0" borderId="0" applyProtection="0">
      <alignment horizontal="right"/>
    </xf>
    <xf numFmtId="0" fontId="45" fillId="0" borderId="29" applyNumberFormat="0" applyProtection="0">
      <alignment/>
    </xf>
    <xf numFmtId="0" fontId="45" fillId="0" borderId="30">
      <alignment horizontal="left" vertical="center"/>
      <protection/>
    </xf>
    <xf numFmtId="49" fontId="126" fillId="0" borderId="0">
      <alignment horizontal="centerContinuous"/>
      <protection/>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31"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32"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33" applyNumberFormat="0" applyFill="0" applyAlignment="0" applyProtection="0"/>
    <xf numFmtId="0" fontId="62" fillId="0" borderId="33"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alignment/>
      <protection/>
    </xf>
    <xf numFmtId="0" fontId="90" fillId="0" borderId="0">
      <alignment/>
      <protection/>
    </xf>
    <xf numFmtId="238" fontId="85" fillId="0" borderId="0">
      <alignment horizontal="centerContinuous"/>
      <protection/>
    </xf>
    <xf numFmtId="0" fontId="132" fillId="0" borderId="34" applyNumberFormat="0" applyFill="0" applyBorder="0" applyProtection="0">
      <alignment/>
    </xf>
    <xf numFmtId="238" fontId="85" fillId="0" borderId="35">
      <alignment horizontal="center"/>
      <protection/>
    </xf>
    <xf numFmtId="0" fontId="11" fillId="0" borderId="0" applyNumberFormat="0" applyFill="0" applyBorder="0" applyProtection="0">
      <alignment wrapText="1"/>
    </xf>
    <xf numFmtId="0" fontId="11" fillId="0" borderId="0" applyNumberFormat="0" applyFill="0" applyBorder="0" applyProtection="0">
      <alignment horizontal="justify" vertical="top" wrapText="1"/>
    </xf>
    <xf numFmtId="0" fontId="133" fillId="0" borderId="36">
      <alignment horizontal="left" vertical="center"/>
      <protection/>
    </xf>
    <xf numFmtId="0" fontId="133" fillId="60" borderId="0">
      <alignment horizontal="centerContinuous" wrapText="1"/>
      <protection/>
    </xf>
    <xf numFmtId="0" fontId="134" fillId="0" borderId="0" applyNumberFormat="0" applyFill="0" applyBorder="0" applyAlignment="0" applyProtection="0"/>
    <xf numFmtId="0" fontId="135" fillId="0" borderId="0" applyNumberFormat="0" applyFill="0" applyBorder="0">
      <alignment/>
      <protection locked="0"/>
    </xf>
    <xf numFmtId="0" fontId="136" fillId="0" borderId="0" applyNumberFormat="0" applyFill="0" applyBorder="0">
      <alignment/>
      <protection locked="0"/>
    </xf>
    <xf numFmtId="0" fontId="135" fillId="0" borderId="0" applyNumberFormat="0" applyFill="0" applyBorder="0">
      <alignment/>
      <protection locked="0"/>
    </xf>
    <xf numFmtId="0" fontId="136" fillId="0" borderId="0" applyNumberFormat="0" applyFill="0" applyBorder="0">
      <alignment/>
      <protection locked="0"/>
    </xf>
    <xf numFmtId="0" fontId="36" fillId="0" borderId="0" applyNumberFormat="0" applyFill="0" applyBorder="0" applyAlignment="0" applyProtection="0"/>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7"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7" fillId="0" borderId="0" applyNumberFormat="0" applyFill="0" applyBorder="0">
      <alignment/>
      <protection locked="0"/>
    </xf>
    <xf numFmtId="0" fontId="138" fillId="0" borderId="0" applyNumberFormat="0" applyFill="0" applyBorder="0">
      <alignment/>
      <protection locked="0"/>
    </xf>
    <xf numFmtId="0" fontId="135" fillId="0" borderId="0" applyNumberFormat="0" applyFill="0" applyBorder="0">
      <alignment/>
      <protection locked="0"/>
    </xf>
    <xf numFmtId="0" fontId="138"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5" fillId="0" borderId="0" applyNumberFormat="0" applyFill="0" applyBorder="0">
      <alignment/>
      <protection locked="0"/>
    </xf>
    <xf numFmtId="0" fontId="139" fillId="0" borderId="0" applyNumberFormat="0" applyFill="0" applyBorder="0">
      <alignment/>
      <protection locked="0"/>
    </xf>
    <xf numFmtId="0" fontId="135" fillId="0" borderId="0" applyNumberFormat="0" applyFill="0" applyBorder="0">
      <alignment/>
      <protection locked="0"/>
    </xf>
    <xf numFmtId="0" fontId="11" fillId="0" borderId="0" applyNumberFormat="0" applyFill="0" applyBorder="0" applyAlignment="0" applyProtection="0"/>
    <xf numFmtId="0" fontId="11" fillId="0" borderId="0">
      <alignment horizontal="right"/>
      <protection/>
    </xf>
    <xf numFmtId="0" fontId="106" fillId="23" borderId="9" applyNumberFormat="0" applyBorder="0" applyAlignment="0" applyProtection="0"/>
    <xf numFmtId="0" fontId="140" fillId="61" borderId="21" applyNumberFormat="0" applyAlignment="0" applyProtection="0"/>
    <xf numFmtId="0" fontId="140" fillId="61" borderId="21" applyNumberFormat="0" applyAlignment="0" applyProtection="0"/>
    <xf numFmtId="0" fontId="140" fillId="61" borderId="21" applyNumberFormat="0" applyAlignment="0" applyProtection="0"/>
    <xf numFmtId="0" fontId="140" fillId="61" borderId="21" applyNumberFormat="0" applyAlignment="0" applyProtection="0"/>
    <xf numFmtId="0" fontId="140" fillId="61" borderId="21" applyNumberFormat="0" applyAlignment="0" applyProtection="0"/>
    <xf numFmtId="0" fontId="66" fillId="61" borderId="21" applyNumberFormat="0" applyAlignment="0" applyProtection="0"/>
    <xf numFmtId="0" fontId="99" fillId="0" borderId="0" applyNumberFormat="0" applyFill="0" applyBorder="0" applyAlignment="0" applyProtection="0"/>
    <xf numFmtId="0" fontId="11" fillId="0" borderId="0" applyNumberFormat="0" applyFill="0" applyBorder="0" applyAlignment="0">
      <protection locked="0"/>
    </xf>
    <xf numFmtId="0" fontId="141" fillId="23" borderId="0" applyNumberFormat="0" applyFont="0" applyBorder="0">
      <alignment/>
      <protection locked="0"/>
    </xf>
    <xf numFmtId="0" fontId="142" fillId="22" borderId="0" applyNumberFormat="0" applyFont="0" applyBorder="0">
      <alignment/>
      <protection locked="0"/>
    </xf>
    <xf numFmtId="0" fontId="11" fillId="23" borderId="37" applyNumberFormat="0" applyFont="0" applyBorder="0">
      <alignment/>
      <protection locked="0"/>
    </xf>
    <xf numFmtId="0" fontId="142" fillId="22" borderId="0" applyNumberFormat="0" applyFont="0" applyBorder="0">
      <alignment/>
      <protection locked="0"/>
    </xf>
    <xf numFmtId="0" fontId="99" fillId="0" borderId="0" applyFill="0" applyBorder="0">
      <alignment horizontal="right"/>
      <protection locked="0"/>
    </xf>
    <xf numFmtId="242" fontId="143" fillId="0" borderId="38" applyFont="0" applyFill="0" applyBorder="0" applyAlignment="0" applyProtection="0"/>
    <xf numFmtId="243" fontId="11" fillId="0" borderId="0" applyFill="0" applyBorder="0">
      <alignment horizontal="right"/>
      <protection locked="0"/>
    </xf>
    <xf numFmtId="0" fontId="144" fillId="0" borderId="0" applyFill="0" applyBorder="0">
      <alignment/>
      <protection/>
    </xf>
    <xf numFmtId="0" fontId="145" fillId="62" borderId="39">
      <alignment horizontal="left" vertical="center" wrapText="1"/>
      <protection/>
    </xf>
    <xf numFmtId="0" fontId="82" fillId="0" borderId="0" applyNumberFormat="0" applyFill="0" applyBorder="0" applyProtection="0">
      <alignment horizontal="left" vertical="center"/>
    </xf>
    <xf numFmtId="0" fontId="146" fillId="0" borderId="0" applyNumberFormat="0" applyFill="0" applyBorder="0">
      <alignment/>
      <protection locked="0"/>
    </xf>
    <xf numFmtId="0" fontId="135" fillId="0" borderId="0" applyNumberFormat="0" applyFill="0" applyBorder="0">
      <alignment/>
      <protection locked="0"/>
    </xf>
    <xf numFmtId="0" fontId="78" fillId="63" borderId="0" applyNumberFormat="0" applyFont="0" applyBorder="0" applyProtection="0">
      <alignment/>
    </xf>
    <xf numFmtId="2" fontId="147" fillId="0" borderId="16">
      <alignment/>
      <protection/>
    </xf>
    <xf numFmtId="210" fontId="78" fillId="0" borderId="0" applyFill="0" applyBorder="0" applyAlignment="0">
      <protection/>
    </xf>
    <xf numFmtId="211" fontId="78" fillId="0" borderId="0" applyFill="0" applyBorder="0" applyAlignment="0">
      <protection/>
    </xf>
    <xf numFmtId="210" fontId="78" fillId="0" borderId="0" applyFill="0" applyBorder="0" applyAlignment="0">
      <protection/>
    </xf>
    <xf numFmtId="212" fontId="11" fillId="0" borderId="0" applyFill="0" applyBorder="0" applyAlignment="0">
      <protection/>
    </xf>
    <xf numFmtId="211" fontId="78" fillId="0" borderId="0" applyFill="0" applyBorder="0" applyAlignment="0">
      <protection/>
    </xf>
    <xf numFmtId="0" fontId="148" fillId="0" borderId="40" applyNumberFormat="0" applyFill="0" applyAlignment="0" applyProtection="0"/>
    <xf numFmtId="0" fontId="148" fillId="0" borderId="40" applyNumberFormat="0" applyFill="0" applyAlignment="0" applyProtection="0"/>
    <xf numFmtId="0" fontId="148" fillId="0" borderId="40" applyNumberFormat="0" applyFill="0" applyAlignment="0" applyProtection="0"/>
    <xf numFmtId="0" fontId="148" fillId="0" borderId="40" applyNumberFormat="0" applyFill="0" applyAlignment="0" applyProtection="0"/>
    <xf numFmtId="0" fontId="148" fillId="0" borderId="40" applyNumberFormat="0" applyFill="0" applyAlignment="0" applyProtection="0"/>
    <xf numFmtId="0" fontId="148" fillId="0" borderId="40" applyNumberFormat="0" applyFill="0" applyAlignment="0" applyProtection="0"/>
    <xf numFmtId="0" fontId="148" fillId="0" borderId="40" applyNumberFormat="0" applyFill="0" applyAlignment="0" applyProtection="0"/>
    <xf numFmtId="0" fontId="69" fillId="0" borderId="40" applyNumberFormat="0" applyFill="0" applyAlignment="0" applyProtection="0"/>
    <xf numFmtId="0" fontId="69" fillId="0" borderId="40" applyNumberFormat="0" applyFill="0" applyAlignment="0" applyProtection="0"/>
    <xf numFmtId="14" fontId="83" fillId="0" borderId="16" applyFont="0" applyFill="0" applyBorder="0" applyAlignment="0" applyProtection="0"/>
    <xf numFmtId="3" fontId="11" fillId="0" borderId="0">
      <alignment/>
      <protection/>
    </xf>
    <xf numFmtId="1" fontId="149" fillId="0" borderId="0">
      <alignment/>
      <protection/>
    </xf>
    <xf numFmtId="244" fontId="150" fillId="64" borderId="0" applyBorder="0">
      <alignment/>
      <protection/>
    </xf>
    <xf numFmtId="168" fontId="11" fillId="0" borderId="0" applyFont="0" applyFill="0" applyBorder="0" applyAlignment="0" applyProtection="0"/>
    <xf numFmtId="17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245" fontId="11" fillId="0" borderId="0" applyFont="0" applyFill="0" applyBorder="0" applyAlignment="0" applyProtection="0"/>
    <xf numFmtId="246" fontId="0" fillId="0" borderId="0" applyFont="0" applyFill="0" applyBorder="0" applyAlignment="0" applyProtection="0"/>
    <xf numFmtId="247" fontId="11" fillId="0" borderId="0" applyFont="0" applyFill="0" applyBorder="0" applyAlignment="0" applyProtection="0"/>
    <xf numFmtId="14" fontId="81" fillId="0" borderId="0" applyFont="0" applyFill="0" applyBorder="0" applyAlignment="0" applyProtection="0"/>
    <xf numFmtId="3" fontId="82" fillId="0" borderId="0">
      <alignment/>
      <protection/>
    </xf>
    <xf numFmtId="3" fontId="82" fillId="0" borderId="0">
      <alignment/>
      <protection/>
    </xf>
    <xf numFmtId="0" fontId="11" fillId="0" borderId="0" applyFont="0" applyFill="0" applyBorder="0" applyAlignment="0" applyProtection="0"/>
    <xf numFmtId="0" fontId="11" fillId="0" borderId="0" applyFont="0" applyFill="0" applyBorder="0" applyAlignment="0" applyProtection="0"/>
    <xf numFmtId="248" fontId="11" fillId="0" borderId="0" applyFont="0" applyFill="0" applyBorder="0" applyAlignment="0" applyProtection="0"/>
    <xf numFmtId="249" fontId="0" fillId="0" borderId="0" applyFont="0" applyFill="0" applyBorder="0" applyAlignment="0" applyProtection="0"/>
    <xf numFmtId="250" fontId="11" fillId="0" borderId="0" applyFont="0" applyFill="0" applyBorder="0" applyAlignment="0" applyProtection="0"/>
    <xf numFmtId="251" fontId="11" fillId="0" borderId="0">
      <alignment/>
      <protection locked="0"/>
    </xf>
    <xf numFmtId="231" fontId="106" fillId="23" borderId="0">
      <alignment horizontal="center"/>
      <protection/>
    </xf>
    <xf numFmtId="252" fontId="104" fillId="0" borderId="0" applyFont="0" applyFill="0" applyBorder="0" applyProtection="0">
      <alignment horizontal="right"/>
    </xf>
    <xf numFmtId="253" fontId="11" fillId="0" borderId="0" applyFont="0" applyFill="0" applyBorder="0" applyAlignment="0" applyProtection="0"/>
    <xf numFmtId="179" fontId="11"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1" fillId="0" borderId="0" applyFont="0" applyFill="0" applyBorder="0" applyProtection="0">
      <alignment horizontal="right"/>
    </xf>
    <xf numFmtId="171" fontId="11" fillId="0" borderId="0" applyFont="0" applyFill="0" applyBorder="0" applyProtection="0">
      <alignment horizontal="right"/>
    </xf>
    <xf numFmtId="0" fontId="11" fillId="0" borderId="41" applyBorder="0" applyProtection="0">
      <alignment/>
    </xf>
    <xf numFmtId="0" fontId="151" fillId="65" borderId="0" applyNumberFormat="0" applyBorder="0" applyAlignment="0" applyProtection="0"/>
    <xf numFmtId="0" fontId="151" fillId="65" borderId="0" applyNumberFormat="0" applyBorder="0" applyAlignment="0" applyProtection="0"/>
    <xf numFmtId="0" fontId="151" fillId="65" borderId="0" applyNumberFormat="0" applyBorder="0" applyAlignment="0" applyProtection="0"/>
    <xf numFmtId="0" fontId="151" fillId="65" borderId="0" applyNumberFormat="0" applyBorder="0" applyAlignment="0" applyProtection="0"/>
    <xf numFmtId="0" fontId="151" fillId="65" borderId="0" applyNumberFormat="0" applyBorder="0" applyAlignment="0" applyProtection="0"/>
    <xf numFmtId="0" fontId="151" fillId="65" borderId="0" applyNumberFormat="0" applyBorder="0" applyAlignment="0" applyProtection="0"/>
    <xf numFmtId="0" fontId="151"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94" fillId="0" borderId="0">
      <alignment/>
      <protection/>
    </xf>
    <xf numFmtId="0" fontId="86" fillId="0" borderId="0" applyNumberFormat="0" applyFont="0" applyFill="0" applyBorder="0" applyProtection="0">
      <alignment/>
    </xf>
    <xf numFmtId="37" fontId="152" fillId="0" borderId="0">
      <alignment/>
      <protection/>
    </xf>
    <xf numFmtId="0" fontId="153" fillId="0" borderId="0">
      <alignment/>
      <protection/>
    </xf>
    <xf numFmtId="0" fontId="35" fillId="66" borderId="0" applyNumberFormat="0" applyBorder="0">
      <alignment/>
      <protection hidden="1"/>
    </xf>
    <xf numFmtId="0" fontId="154" fillId="0" borderId="0" applyNumberFormat="0" applyFill="0" applyBorder="0" applyProtection="0">
      <alignment/>
    </xf>
    <xf numFmtId="1" fontId="82" fillId="0" borderId="0">
      <alignment/>
      <protection/>
    </xf>
    <xf numFmtId="254" fontId="155" fillId="0" borderId="0">
      <alignment/>
      <protection/>
    </xf>
    <xf numFmtId="37" fontId="79" fillId="22" borderId="0" applyFont="0" applyFill="0" applyBorder="0" applyAlignment="0" applyProtection="0"/>
    <xf numFmtId="233" fontId="11" fillId="0" borderId="0" applyFont="0" applyFill="0" applyBorder="0" applyAlignment="0">
      <protection/>
    </xf>
    <xf numFmtId="255" fontId="106" fillId="0" borderId="0" applyFont="0" applyFill="0" applyBorder="0" applyAlignment="0">
      <protection/>
    </xf>
    <xf numFmtId="256" fontId="106" fillId="0" borderId="0" applyFont="0" applyFill="0" applyBorder="0" applyAlignment="0">
      <protection/>
    </xf>
    <xf numFmtId="255" fontId="106" fillId="0" borderId="0" applyFont="0" applyFill="0" applyBorder="0" applyAlignment="0">
      <protection/>
    </xf>
    <xf numFmtId="257" fontId="0"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99" fillId="0" borderId="0">
      <alignment/>
      <protection/>
    </xf>
    <xf numFmtId="0" fontId="11" fillId="0" borderId="0">
      <alignment/>
      <protection/>
    </xf>
    <xf numFmtId="0" fontId="0" fillId="0" borderId="0">
      <alignment/>
      <protection/>
    </xf>
    <xf numFmtId="0" fontId="11"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11" fillId="0" borderId="0">
      <alignment/>
      <protection/>
    </xf>
    <xf numFmtId="0" fontId="18"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1" fillId="0" borderId="9">
      <alignment/>
      <protection/>
    </xf>
    <xf numFmtId="0" fontId="18" fillId="0" borderId="0">
      <alignment vertical="top"/>
      <protection/>
    </xf>
    <xf numFmtId="0" fontId="18" fillId="0" borderId="0">
      <alignment vertical="top"/>
      <protection/>
    </xf>
    <xf numFmtId="0" fontId="11" fillId="0" borderId="0">
      <alignment/>
      <protection/>
    </xf>
    <xf numFmtId="0" fontId="0" fillId="0" borderId="0">
      <alignment/>
      <protection/>
    </xf>
    <xf numFmtId="0" fontId="11" fillId="0" borderId="0">
      <alignment/>
      <protection/>
    </xf>
    <xf numFmtId="0" fontId="0"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0" fillId="0" borderId="0">
      <alignment/>
      <protection/>
    </xf>
    <xf numFmtId="0" fontId="11" fillId="0" borderId="0">
      <alignment/>
      <protection/>
    </xf>
    <xf numFmtId="0" fontId="11" fillId="0" borderId="0">
      <alignment/>
      <protection/>
    </xf>
    <xf numFmtId="0" fontId="99" fillId="0" borderId="0">
      <alignment/>
      <protection/>
    </xf>
    <xf numFmtId="0" fontId="0" fillId="0" borderId="0">
      <alignment/>
      <protection/>
    </xf>
    <xf numFmtId="0" fontId="99" fillId="0" borderId="0">
      <alignment/>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1" fillId="0" borderId="0">
      <alignment/>
      <protection/>
    </xf>
    <xf numFmtId="0" fontId="11" fillId="0" borderId="0">
      <alignment/>
      <protection/>
    </xf>
    <xf numFmtId="0" fontId="11" fillId="0" borderId="0">
      <alignment/>
      <protection/>
    </xf>
    <xf numFmtId="0" fontId="1" fillId="0" borderId="0">
      <alignment/>
      <protection/>
    </xf>
    <xf numFmtId="0" fontId="99" fillId="0" borderId="0">
      <alignment/>
      <protection/>
    </xf>
    <xf numFmtId="0" fontId="11" fillId="0" borderId="0">
      <alignment/>
      <protection/>
    </xf>
    <xf numFmtId="239" fontId="11" fillId="0" borderId="0">
      <alignment/>
      <protection/>
    </xf>
    <xf numFmtId="0" fontId="99" fillId="0" borderId="0">
      <alignment/>
      <protection/>
    </xf>
    <xf numFmtId="0" fontId="99" fillId="0" borderId="0">
      <alignment/>
      <protection/>
    </xf>
    <xf numFmtId="239" fontId="11" fillId="0" borderId="0">
      <alignment/>
      <protection/>
    </xf>
    <xf numFmtId="0" fontId="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8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13" fillId="0" borderId="0">
      <alignment/>
      <protection/>
    </xf>
    <xf numFmtId="0" fontId="123" fillId="0" borderId="0">
      <alignment/>
      <protection/>
    </xf>
    <xf numFmtId="0" fontId="11" fillId="0" borderId="0">
      <alignment/>
      <protection/>
    </xf>
    <xf numFmtId="239" fontId="11" fillId="0" borderId="0">
      <alignment/>
      <protection/>
    </xf>
    <xf numFmtId="239" fontId="11" fillId="0" borderId="0">
      <alignment/>
      <protection/>
    </xf>
    <xf numFmtId="0" fontId="11" fillId="0" borderId="0">
      <alignment/>
      <protection/>
    </xf>
    <xf numFmtId="0" fontId="99"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0" fillId="0" borderId="0">
      <alignment/>
      <protection/>
    </xf>
    <xf numFmtId="239" fontId="11" fillId="0" borderId="0">
      <alignment/>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11" fillId="0" borderId="0">
      <alignment/>
      <protection/>
    </xf>
    <xf numFmtId="0" fontId="11" fillId="0" borderId="0">
      <alignment/>
      <protection/>
    </xf>
    <xf numFmtId="0" fontId="99" fillId="0" borderId="0">
      <alignment/>
      <protection/>
    </xf>
    <xf numFmtId="0" fontId="75" fillId="0" borderId="0">
      <alignment/>
      <protection/>
    </xf>
    <xf numFmtId="0" fontId="99" fillId="0" borderId="0">
      <alignment/>
      <protection/>
    </xf>
    <xf numFmtId="0" fontId="99" fillId="0" borderId="0">
      <alignment/>
      <protection/>
    </xf>
    <xf numFmtId="0"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99"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13" fillId="0" borderId="0">
      <alignment/>
      <protection/>
    </xf>
    <xf numFmtId="0" fontId="99" fillId="0" borderId="0">
      <alignment/>
      <protection/>
    </xf>
    <xf numFmtId="0" fontId="75" fillId="0" borderId="0">
      <alignment/>
      <protection/>
    </xf>
    <xf numFmtId="0" fontId="75" fillId="0" borderId="0">
      <alignment/>
      <protection/>
    </xf>
    <xf numFmtId="0" fontId="99" fillId="0" borderId="0">
      <alignment/>
      <protection/>
    </xf>
    <xf numFmtId="0" fontId="99"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75" fillId="0" borderId="0">
      <alignment/>
      <protection/>
    </xf>
    <xf numFmtId="0" fontId="0" fillId="0" borderId="0">
      <alignment/>
      <protection/>
    </xf>
    <xf numFmtId="0" fontId="99" fillId="0" borderId="0">
      <alignment/>
      <protection/>
    </xf>
    <xf numFmtId="0" fontId="11" fillId="0" borderId="0">
      <alignment/>
      <protection/>
    </xf>
    <xf numFmtId="0" fontId="75" fillId="0" borderId="0">
      <alignment/>
      <protection/>
    </xf>
    <xf numFmtId="0" fontId="11" fillId="0" borderId="0">
      <alignment/>
      <protection/>
    </xf>
    <xf numFmtId="0" fontId="11" fillId="0" borderId="0">
      <alignment/>
      <protection/>
    </xf>
    <xf numFmtId="0" fontId="75"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75" fillId="0" borderId="0">
      <alignment/>
      <protection/>
    </xf>
    <xf numFmtId="0" fontId="11" fillId="0" borderId="0">
      <alignment/>
      <protection/>
    </xf>
    <xf numFmtId="0" fontId="99" fillId="0" borderId="0">
      <alignment/>
      <protection/>
    </xf>
    <xf numFmtId="0" fontId="75" fillId="0" borderId="0">
      <alignment/>
      <protection/>
    </xf>
    <xf numFmtId="0" fontId="11" fillId="0" borderId="0">
      <alignment/>
      <protection/>
    </xf>
    <xf numFmtId="0" fontId="11" fillId="0" borderId="0">
      <alignment/>
      <protection/>
    </xf>
    <xf numFmtId="0" fontId="8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99" fillId="0" borderId="0">
      <alignment/>
      <protection/>
    </xf>
    <xf numFmtId="0" fontId="99" fillId="0" borderId="0">
      <alignment/>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239" fontId="11" fillId="0" borderId="0">
      <alignment/>
      <protection/>
    </xf>
    <xf numFmtId="239" fontId="11" fillId="0" borderId="0">
      <alignment/>
      <protection/>
    </xf>
    <xf numFmtId="0"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56" fillId="0" borderId="0">
      <alignment/>
      <protection/>
    </xf>
    <xf numFmtId="0" fontId="156" fillId="0" borderId="0">
      <alignment/>
      <protection/>
    </xf>
    <xf numFmtId="239" fontId="11" fillId="0" borderId="0">
      <alignment/>
      <protection/>
    </xf>
    <xf numFmtId="239" fontId="11" fillId="0" borderId="0">
      <alignment/>
      <protection/>
    </xf>
    <xf numFmtId="0" fontId="8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57" fontId="0" fillId="0" borderId="0">
      <alignment/>
      <protection/>
    </xf>
    <xf numFmtId="0" fontId="0" fillId="0" borderId="0">
      <alignment/>
      <protection/>
    </xf>
    <xf numFmtId="0" fontId="105" fillId="0" borderId="0">
      <alignment/>
      <protection/>
    </xf>
    <xf numFmtId="239" fontId="11" fillId="0" borderId="0">
      <alignment/>
      <protection/>
    </xf>
    <xf numFmtId="0" fontId="11" fillId="0" borderId="0">
      <alignment/>
      <protection/>
    </xf>
    <xf numFmtId="239" fontId="11" fillId="0" borderId="0">
      <alignment/>
      <protection/>
    </xf>
    <xf numFmtId="0" fontId="75" fillId="0" borderId="0">
      <alignment/>
      <protection/>
    </xf>
    <xf numFmtId="0" fontId="0" fillId="0" borderId="0">
      <alignment/>
      <protection/>
    </xf>
    <xf numFmtId="0" fontId="75" fillId="0" borderId="0">
      <alignment/>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0" fontId="0" fillId="0" borderId="0">
      <alignment/>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239" fontId="11" fillId="0" borderId="0">
      <alignment/>
      <protection/>
    </xf>
    <xf numFmtId="0" fontId="11" fillId="0" borderId="0">
      <alignment/>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11" fillId="0" borderId="0">
      <alignment/>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78"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11" fillId="0" borderId="0">
      <alignment/>
      <protection/>
    </xf>
    <xf numFmtId="239" fontId="11" fillId="0" borderId="0">
      <alignment/>
      <protection/>
    </xf>
    <xf numFmtId="239" fontId="11" fillId="0" borderId="0">
      <alignment/>
      <protection/>
    </xf>
    <xf numFmtId="239" fontId="11" fillId="0" borderId="0">
      <alignment/>
      <protection/>
    </xf>
    <xf numFmtId="0" fontId="11" fillId="0" borderId="0">
      <alignment wrapText="1"/>
      <protection/>
    </xf>
    <xf numFmtId="0" fontId="11" fillId="0" borderId="0">
      <alignment wrapText="1"/>
      <protection/>
    </xf>
    <xf numFmtId="0" fontId="8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11" fillId="0" borderId="0">
      <alignment/>
      <protection/>
    </xf>
    <xf numFmtId="239" fontId="11" fillId="0" borderId="0">
      <alignment/>
      <protection/>
    </xf>
    <xf numFmtId="0" fontId="11" fillId="0" borderId="0">
      <alignment/>
      <protection/>
    </xf>
    <xf numFmtId="0" fontId="0"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103"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82"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11" fillId="0" borderId="0">
      <alignment/>
      <protection/>
    </xf>
    <xf numFmtId="239" fontId="11" fillId="0" borderId="0">
      <alignment/>
      <protection/>
    </xf>
    <xf numFmtId="239" fontId="11" fillId="0" borderId="0">
      <alignment/>
      <protection/>
    </xf>
    <xf numFmtId="239" fontId="11" fillId="0" borderId="0">
      <alignment/>
      <protection/>
    </xf>
    <xf numFmtId="0" fontId="39" fillId="0" borderId="0">
      <alignment/>
      <protection/>
    </xf>
    <xf numFmtId="0" fontId="39" fillId="0" borderId="0">
      <alignment/>
      <protection/>
    </xf>
    <xf numFmtId="0" fontId="11" fillId="0" borderId="0">
      <alignment wrapText="1"/>
      <protection/>
    </xf>
    <xf numFmtId="0" fontId="11" fillId="0" borderId="0">
      <alignment wrapText="1"/>
      <protection/>
    </xf>
    <xf numFmtId="0" fontId="11" fillId="0" borderId="0">
      <alignment wrapText="1"/>
      <protection/>
    </xf>
    <xf numFmtId="0" fontId="39" fillId="0" borderId="0">
      <alignment/>
      <protection/>
    </xf>
    <xf numFmtId="0" fontId="3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239" fontId="11" fillId="0" borderId="0">
      <alignment/>
      <protection/>
    </xf>
    <xf numFmtId="0" fontId="99" fillId="0" borderId="0">
      <alignment/>
      <protection/>
    </xf>
    <xf numFmtId="0" fontId="11" fillId="0" borderId="0">
      <alignment wrapText="1"/>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11" fillId="0" borderId="0">
      <alignment wrapText="1"/>
      <protection/>
    </xf>
    <xf numFmtId="0" fontId="99"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239"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257" fontId="0"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11" fillId="0" borderId="0">
      <alignment/>
      <protection/>
    </xf>
    <xf numFmtId="0" fontId="11" fillId="0" borderId="0">
      <alignment/>
      <protection/>
    </xf>
    <xf numFmtId="0" fontId="1" fillId="0" borderId="0">
      <alignment/>
      <protection/>
    </xf>
    <xf numFmtId="0" fontId="18"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0" fillId="0" borderId="0">
      <alignment/>
      <protection/>
    </xf>
    <xf numFmtId="0" fontId="99"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1" fillId="0" borderId="0">
      <alignment/>
      <protection/>
    </xf>
    <xf numFmtId="0" fontId="18" fillId="0" borderId="0">
      <alignment/>
      <protection/>
    </xf>
    <xf numFmtId="0" fontId="18" fillId="0" borderId="0">
      <alignment/>
      <protection/>
    </xf>
    <xf numFmtId="239" fontId="11" fillId="0" borderId="0">
      <alignment/>
      <protection/>
    </xf>
    <xf numFmtId="0" fontId="11"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11" fillId="0" borderId="0">
      <alignment/>
      <protection/>
    </xf>
    <xf numFmtId="0" fontId="75" fillId="0" borderId="0">
      <alignment/>
      <protection/>
    </xf>
    <xf numFmtId="257" fontId="0"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11" fillId="0" borderId="0">
      <alignment/>
      <protection/>
    </xf>
    <xf numFmtId="0" fontId="0" fillId="0" borderId="0">
      <alignment/>
      <protection/>
    </xf>
    <xf numFmtId="0" fontId="11" fillId="0" borderId="0">
      <alignment/>
      <protection/>
    </xf>
    <xf numFmtId="0" fontId="9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0"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11" fillId="0" borderId="0">
      <alignment/>
      <protection/>
    </xf>
    <xf numFmtId="0" fontId="99" fillId="0" borderId="0">
      <alignment/>
      <protection/>
    </xf>
    <xf numFmtId="0" fontId="99"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0" fillId="0" borderId="0">
      <alignment/>
      <protection/>
    </xf>
    <xf numFmtId="0" fontId="0" fillId="0" borderId="0">
      <alignment/>
      <protection/>
    </xf>
    <xf numFmtId="0" fontId="0"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0" fontId="99" fillId="0" borderId="0">
      <alignment/>
      <protection/>
    </xf>
    <xf numFmtId="257" fontId="0" fillId="0" borderId="0">
      <alignment/>
      <protection/>
    </xf>
    <xf numFmtId="0" fontId="18" fillId="0" borderId="0">
      <alignment/>
      <protection/>
    </xf>
    <xf numFmtId="0" fontId="11" fillId="0" borderId="0">
      <alignment/>
      <protection/>
    </xf>
    <xf numFmtId="0" fontId="11" fillId="0" borderId="0">
      <alignment/>
      <protection/>
    </xf>
    <xf numFmtId="0" fontId="106" fillId="0" borderId="0">
      <alignment/>
      <protection/>
    </xf>
    <xf numFmtId="0" fontId="0" fillId="0" borderId="0">
      <alignment/>
      <protection/>
    </xf>
    <xf numFmtId="0" fontId="99" fillId="0" borderId="0">
      <alignment/>
      <protection/>
    </xf>
    <xf numFmtId="258" fontId="106" fillId="0" borderId="0" applyFont="0" applyFill="0" applyBorder="0" applyProtection="0">
      <alignment/>
    </xf>
    <xf numFmtId="258" fontId="106" fillId="0" borderId="0" applyFont="0" applyFill="0" applyBorder="0" applyProtection="0">
      <alignment/>
    </xf>
    <xf numFmtId="258" fontId="106" fillId="0" borderId="0" applyFont="0" applyFill="0" applyBorder="0" applyProtection="0">
      <alignment/>
    </xf>
    <xf numFmtId="258" fontId="106" fillId="0" borderId="0" applyFont="0" applyFill="0" applyBorder="0" applyProtection="0">
      <alignment/>
    </xf>
    <xf numFmtId="258" fontId="106" fillId="0" borderId="0" applyFont="0" applyFill="0" applyBorder="0" applyProtection="0">
      <alignment/>
    </xf>
    <xf numFmtId="258" fontId="106" fillId="0" borderId="0" applyFont="0" applyFill="0" applyBorder="0" applyProtection="0">
      <alignment/>
    </xf>
    <xf numFmtId="258" fontId="106" fillId="0" borderId="0" applyFont="0" applyFill="0" applyBorder="0" applyProtection="0">
      <alignment/>
    </xf>
    <xf numFmtId="258" fontId="106" fillId="0" borderId="0" applyFont="0" applyFill="0" applyBorder="0" applyProtection="0">
      <alignment/>
    </xf>
    <xf numFmtId="0" fontId="157" fillId="0" borderId="0">
      <alignment/>
      <protection/>
    </xf>
    <xf numFmtId="0" fontId="11" fillId="0" borderId="0">
      <alignment/>
      <protection/>
    </xf>
    <xf numFmtId="0" fontId="158" fillId="0" borderId="0">
      <alignment/>
      <protection/>
    </xf>
    <xf numFmtId="259" fontId="106" fillId="0" borderId="0" applyFont="0" applyFill="0" applyBorder="0" applyAlignment="0" applyProtection="0"/>
    <xf numFmtId="0" fontId="84" fillId="67" borderId="42" applyNumberFormat="0" applyFont="0" applyAlignment="0" applyProtection="0"/>
    <xf numFmtId="0" fontId="0" fillId="67" borderId="42" applyNumberFormat="0" applyFont="0" applyAlignment="0" applyProtection="0"/>
    <xf numFmtId="0" fontId="39" fillId="67" borderId="42" applyNumberFormat="0" applyFont="0" applyAlignment="0" applyProtection="0"/>
    <xf numFmtId="0" fontId="0" fillId="67" borderId="42" applyNumberFormat="0" applyFont="0" applyAlignment="0" applyProtection="0"/>
    <xf numFmtId="0" fontId="39"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159" fillId="67" borderId="42" applyNumberFormat="0" applyFont="0" applyAlignment="0" applyProtection="0"/>
    <xf numFmtId="0" fontId="159" fillId="67" borderId="42" applyNumberFormat="0" applyFont="0" applyAlignment="0" applyProtection="0"/>
    <xf numFmtId="0" fontId="159" fillId="67" borderId="42" applyNumberFormat="0" applyFont="0" applyAlignment="0" applyProtection="0"/>
    <xf numFmtId="0" fontId="159" fillId="67" borderId="42" applyNumberFormat="0" applyFont="0" applyAlignment="0" applyProtection="0"/>
    <xf numFmtId="0" fontId="159" fillId="67" borderId="42" applyNumberFormat="0" applyFont="0" applyAlignment="0" applyProtection="0"/>
    <xf numFmtId="0" fontId="159" fillId="67" borderId="42" applyNumberFormat="0" applyFont="0" applyAlignment="0" applyProtection="0"/>
    <xf numFmtId="0" fontId="84" fillId="67" borderId="42" applyNumberFormat="0" applyFont="0" applyAlignment="0" applyProtection="0"/>
    <xf numFmtId="0" fontId="0" fillId="67" borderId="42" applyNumberFormat="0" applyFont="0" applyAlignment="0" applyProtection="0"/>
    <xf numFmtId="0" fontId="84" fillId="67" borderId="42" applyNumberFormat="0" applyFont="0" applyAlignment="0" applyProtection="0"/>
    <xf numFmtId="0" fontId="0" fillId="67" borderId="42" applyNumberFormat="0" applyFont="0" applyAlignment="0" applyProtection="0"/>
    <xf numFmtId="0" fontId="84" fillId="67" borderId="42" applyNumberFormat="0" applyFont="0" applyAlignment="0" applyProtection="0"/>
    <xf numFmtId="0" fontId="0" fillId="67" borderId="42" applyNumberFormat="0" applyFont="0" applyAlignment="0" applyProtection="0"/>
    <xf numFmtId="0" fontId="84"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0" fontId="0" fillId="67" borderId="42" applyNumberFormat="0" applyFont="0" applyAlignment="0" applyProtection="0"/>
    <xf numFmtId="260" fontId="160" fillId="0" borderId="0" applyBorder="0" applyProtection="0">
      <alignment horizontal="right"/>
    </xf>
    <xf numFmtId="260" fontId="161" fillId="68" borderId="0" applyBorder="0" applyProtection="0">
      <alignment horizontal="right"/>
    </xf>
    <xf numFmtId="260" fontId="162" fillId="0" borderId="30" applyBorder="0">
      <alignment/>
      <protection/>
    </xf>
    <xf numFmtId="260" fontId="160" fillId="0" borderId="0" applyBorder="0" applyProtection="0">
      <alignment horizontal="right"/>
    </xf>
    <xf numFmtId="261" fontId="160" fillId="0" borderId="0" applyBorder="0" applyProtection="0">
      <alignment horizontal="right"/>
    </xf>
    <xf numFmtId="261" fontId="163" fillId="6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alignment/>
    </xf>
    <xf numFmtId="0" fontId="93" fillId="23" borderId="0">
      <alignment horizontal="right"/>
      <protection/>
    </xf>
    <xf numFmtId="0" fontId="11" fillId="0" borderId="0">
      <alignment horizontal="right"/>
      <protection/>
    </xf>
    <xf numFmtId="0" fontId="164" fillId="53" borderId="43" applyNumberFormat="0" applyAlignment="0" applyProtection="0"/>
    <xf numFmtId="0" fontId="164" fillId="53" borderId="43" applyNumberFormat="0" applyAlignment="0" applyProtection="0"/>
    <xf numFmtId="0" fontId="164" fillId="53" borderId="43" applyNumberFormat="0" applyAlignment="0" applyProtection="0"/>
    <xf numFmtId="0" fontId="164" fillId="53" borderId="43" applyNumberFormat="0" applyAlignment="0" applyProtection="0"/>
    <xf numFmtId="0" fontId="164" fillId="53" borderId="43" applyNumberFormat="0" applyAlignment="0" applyProtection="0"/>
    <xf numFmtId="0" fontId="67" fillId="53" borderId="43" applyNumberFormat="0" applyAlignment="0" applyProtection="0"/>
    <xf numFmtId="0" fontId="67" fillId="53" borderId="43"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16">
      <alignment vertical="center"/>
      <protection/>
    </xf>
    <xf numFmtId="2" fontId="96" fillId="0" borderId="0">
      <alignment/>
      <protection/>
    </xf>
    <xf numFmtId="237" fontId="169" fillId="0" borderId="0" applyFill="0" applyBorder="0" applyAlignment="0" applyProtection="0"/>
    <xf numFmtId="173" fontId="11" fillId="0" borderId="0" applyFont="0" applyFill="0" applyBorder="0" applyAlignment="0" applyProtection="0"/>
    <xf numFmtId="263" fontId="78" fillId="0" borderId="0" applyFont="0" applyFill="0" applyBorder="0" applyAlignment="0" applyProtection="0"/>
    <xf numFmtId="264" fontId="170" fillId="23" borderId="9" applyFill="0" applyBorder="0">
      <alignment/>
      <protection locked="0"/>
    </xf>
    <xf numFmtId="265" fontId="170" fillId="20" borderId="0" applyFill="0" applyBorder="0" applyAlignment="0">
      <protection hidden="1"/>
    </xf>
    <xf numFmtId="10" fontId="11" fillId="0" borderId="0" applyFont="0" applyFill="0" applyBorder="0" applyAlignment="0" applyProtection="0"/>
    <xf numFmtId="10" fontId="11" fillId="0" borderId="0" applyFont="0" applyFill="0" applyBorder="0" applyAlignment="0" applyProtection="0"/>
    <xf numFmtId="266" fontId="160" fillId="0" borderId="0" applyBorder="0" applyProtection="0">
      <alignment horizontal="right"/>
    </xf>
    <xf numFmtId="266" fontId="161" fillId="68" borderId="0" applyProtection="0">
      <alignment horizontal="right"/>
    </xf>
    <xf numFmtId="266" fontId="160" fillId="0" borderId="0" applyFont="0" applyBorder="0" applyProtection="0">
      <alignment horizontal="right"/>
    </xf>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8"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237"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11"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267" fontId="96" fillId="0" borderId="0" applyFont="0" applyFill="0" applyBorder="0" applyProtection="0">
      <alignment horizontal="right"/>
    </xf>
    <xf numFmtId="9" fontId="11" fillId="0" borderId="0">
      <alignment/>
      <protection/>
    </xf>
    <xf numFmtId="268" fontId="11" fillId="0" borderId="0" applyFill="0" applyBorder="0">
      <alignment horizontal="right"/>
      <protection locked="0"/>
    </xf>
    <xf numFmtId="1" fontId="82" fillId="0" borderId="0">
      <alignment/>
      <protection/>
    </xf>
    <xf numFmtId="251" fontId="11" fillId="0" borderId="0">
      <alignment/>
      <protection locked="0"/>
    </xf>
    <xf numFmtId="237" fontId="11" fillId="0" borderId="0" applyFont="0" applyFill="0" applyBorder="0" applyAlignment="0" applyProtection="0"/>
    <xf numFmtId="210" fontId="78" fillId="0" borderId="0" applyFill="0" applyBorder="0" applyAlignment="0">
      <protection/>
    </xf>
    <xf numFmtId="211" fontId="78" fillId="0" borderId="0" applyFill="0" applyBorder="0" applyAlignment="0">
      <protection/>
    </xf>
    <xf numFmtId="210" fontId="78" fillId="0" borderId="0" applyFill="0" applyBorder="0" applyAlignment="0">
      <protection/>
    </xf>
    <xf numFmtId="212" fontId="11" fillId="0" borderId="0" applyFill="0" applyBorder="0" applyAlignment="0">
      <protection/>
    </xf>
    <xf numFmtId="211" fontId="78" fillId="0" borderId="0" applyFill="0" applyBorder="0" applyAlignment="0">
      <protection/>
    </xf>
    <xf numFmtId="10" fontId="96" fillId="0" borderId="0">
      <alignment/>
      <protection/>
    </xf>
    <xf numFmtId="10" fontId="96" fillId="62" borderId="0">
      <alignment/>
      <protection/>
    </xf>
    <xf numFmtId="9" fontId="96" fillId="0" borderId="0" applyFont="0" applyFill="0" applyBorder="0" applyAlignment="0" applyProtection="0"/>
    <xf numFmtId="171" fontId="18" fillId="0" borderId="0">
      <alignment/>
      <protection/>
    </xf>
    <xf numFmtId="269" fontId="171" fillId="20" borderId="0" applyBorder="0" applyAlignment="0">
      <protection hidden="1"/>
    </xf>
    <xf numFmtId="1" fontId="171" fillId="20" borderId="0">
      <alignment horizontal="center"/>
      <protection/>
    </xf>
    <xf numFmtId="0" fontId="99" fillId="0" borderId="0" applyNumberFormat="0" applyFont="0" applyFill="0" applyBorder="0" applyProtection="0">
      <alignment/>
    </xf>
    <xf numFmtId="15" fontId="99" fillId="0" borderId="0" applyFont="0" applyFill="0" applyBorder="0" applyAlignment="0" applyProtection="0"/>
    <xf numFmtId="4" fontId="99" fillId="0" borderId="0" applyFont="0" applyFill="0" applyBorder="0" applyAlignment="0" applyProtection="0"/>
    <xf numFmtId="0" fontId="145" fillId="0" borderId="17">
      <alignment horizontal="center"/>
      <protection/>
    </xf>
    <xf numFmtId="3" fontId="99" fillId="0" borderId="0" applyFont="0" applyFill="0" applyBorder="0" applyAlignment="0" applyProtection="0"/>
    <xf numFmtId="0" fontId="99" fillId="69" borderId="0" applyNumberFormat="0" applyFont="0" applyBorder="0" applyAlignment="0" applyProtection="0"/>
    <xf numFmtId="0" fontId="99" fillId="0" borderId="0">
      <alignment horizontal="right"/>
      <protection locked="0"/>
    </xf>
    <xf numFmtId="0" fontId="172" fillId="0" borderId="0" applyNumberFormat="0" applyFill="0" applyBorder="0" applyProtection="0">
      <alignment/>
    </xf>
    <xf numFmtId="0" fontId="173" fillId="57" borderId="0">
      <alignment/>
      <protection/>
    </xf>
    <xf numFmtId="0" fontId="82" fillId="0" borderId="0" applyNumberFormat="0" applyFill="0" applyBorder="0" applyProtection="0">
      <alignment horizontal="right" vertical="center"/>
    </xf>
    <xf numFmtId="0" fontId="174" fillId="0" borderId="44">
      <alignment vertical="center"/>
      <protection/>
    </xf>
    <xf numFmtId="270" fontId="11" fillId="0" borderId="0" applyFill="0" applyBorder="0">
      <alignment horizontal="right"/>
      <protection hidden="1"/>
    </xf>
    <xf numFmtId="0" fontId="175" fillId="56" borderId="9">
      <alignment horizontal="center" vertical="center" wrapText="1"/>
      <protection hidden="1"/>
    </xf>
    <xf numFmtId="0" fontId="99" fillId="70" borderId="45">
      <alignment/>
      <protection/>
    </xf>
    <xf numFmtId="0" fontId="78" fillId="71" borderId="0" applyNumberFormat="0" applyFont="0" applyBorder="0" applyAlignment="0" applyProtection="0"/>
    <xf numFmtId="167" fontId="176" fillId="0" borderId="0" applyFill="0" applyBorder="0" applyAlignment="0" applyProtection="0"/>
    <xf numFmtId="168" fontId="177" fillId="0" borderId="0">
      <alignment/>
      <protection/>
    </xf>
    <xf numFmtId="0" fontId="106" fillId="0" borderId="0">
      <alignment/>
      <protection/>
    </xf>
    <xf numFmtId="0" fontId="178" fillId="0" borderId="0">
      <alignment horizontal="right"/>
      <protection/>
    </xf>
    <xf numFmtId="0" fontId="113" fillId="0" borderId="0">
      <alignment horizontal="left"/>
      <protection/>
    </xf>
    <xf numFmtId="237" fontId="179" fillId="0" borderId="35">
      <alignment/>
      <protection/>
    </xf>
    <xf numFmtId="271" fontId="86" fillId="64" borderId="0" applyFont="0" applyBorder="0">
      <alignment/>
      <protection/>
    </xf>
    <xf numFmtId="0" fontId="180" fillId="0" borderId="0">
      <alignment/>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11" fillId="0" borderId="0">
      <alignment vertical="top"/>
      <protection/>
    </xf>
    <xf numFmtId="168" fontId="11" fillId="0" borderId="0" applyFont="0" applyFill="0" applyBorder="0" applyAlignment="0" applyProtection="0"/>
    <xf numFmtId="0" fontId="35" fillId="0" borderId="0">
      <alignment vertical="top"/>
      <protection/>
    </xf>
    <xf numFmtId="0" fontId="78" fillId="0" borderId="0">
      <alignment vertical="top"/>
      <protection/>
    </xf>
    <xf numFmtId="0" fontId="78" fillId="0" borderId="0">
      <alignment vertical="top"/>
      <protection/>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8" fillId="0" borderId="0">
      <alignment vertical="top"/>
      <protection/>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8" fillId="0" borderId="0">
      <alignment vertical="top"/>
      <protection/>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9" fontId="11" fillId="0" borderId="0" applyFont="0" applyFill="0" applyBorder="0" applyAlignment="0" applyProtection="0"/>
    <xf numFmtId="0" fontId="78" fillId="0" borderId="0">
      <alignment vertical="top"/>
      <protection/>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81" fillId="71" borderId="9" applyNumberFormat="0" applyProtection="0">
      <alignment horizontal="center" vertical="center"/>
    </xf>
    <xf numFmtId="0" fontId="78" fillId="0" borderId="0">
      <alignment vertical="top"/>
      <protection/>
    </xf>
    <xf numFmtId="0" fontId="10" fillId="71" borderId="9" applyNumberFormat="0" applyProtection="0">
      <alignment horizontal="center" vertical="center" wrapText="1"/>
    </xf>
    <xf numFmtId="0" fontId="10" fillId="71" borderId="9" applyNumberFormat="0" applyProtection="0">
      <alignment horizontal="center" vertical="center"/>
    </xf>
    <xf numFmtId="0" fontId="10" fillId="71" borderId="9" applyNumberFormat="0" applyProtection="0">
      <alignment horizontal="center" vertical="center" wrapText="1"/>
    </xf>
    <xf numFmtId="0" fontId="182" fillId="0" borderId="0" applyNumberFormat="0" applyFill="0" applyBorder="0" applyAlignment="0" applyProtection="0"/>
    <xf numFmtId="0" fontId="10" fillId="16" borderId="9" applyNumberFormat="0" applyProtection="0">
      <alignment horizontal="left" vertical="center" wrapText="1"/>
    </xf>
    <xf numFmtId="0" fontId="78" fillId="0" borderId="0">
      <alignment vertical="top"/>
      <protection/>
    </xf>
    <xf numFmtId="0" fontId="78" fillId="0" borderId="0">
      <alignment vertical="top"/>
      <protection/>
    </xf>
    <xf numFmtId="0" fontId="45" fillId="0" borderId="0" applyNumberFormat="0" applyFill="0" applyBorder="0" applyAlignment="0" applyProtection="0"/>
    <xf numFmtId="0" fontId="10" fillId="72" borderId="9" applyNumberFormat="0" applyProtection="0">
      <alignment horizontal="center" vertical="center" wrapText="1"/>
    </xf>
    <xf numFmtId="0" fontId="11" fillId="24" borderId="9" applyNumberFormat="0" applyProtection="0">
      <alignment horizontal="left" vertical="center" wrapText="1"/>
    </xf>
    <xf numFmtId="0" fontId="78" fillId="0" borderId="0">
      <alignment vertical="top"/>
      <protection/>
    </xf>
    <xf numFmtId="0" fontId="10" fillId="16" borderId="9" applyNumberFormat="0" applyProtection="0">
      <alignment horizontal="left" vertical="center" wrapText="1"/>
    </xf>
    <xf numFmtId="0" fontId="78" fillId="0" borderId="0">
      <alignment vertical="top"/>
      <protection/>
    </xf>
    <xf numFmtId="0" fontId="78" fillId="0" borderId="0">
      <alignment vertical="top"/>
      <protection/>
    </xf>
    <xf numFmtId="0" fontId="183" fillId="73" borderId="0" applyNumberFormat="0" applyBorder="0" applyAlignment="0" applyProtection="0"/>
    <xf numFmtId="0" fontId="78" fillId="0" borderId="0">
      <alignment vertical="top"/>
      <protection/>
    </xf>
    <xf numFmtId="0" fontId="78" fillId="0" borderId="0">
      <alignment vertical="top"/>
      <protection/>
    </xf>
    <xf numFmtId="0" fontId="78" fillId="0" borderId="0">
      <alignment vertical="top"/>
      <protection/>
    </xf>
    <xf numFmtId="170" fontId="77" fillId="0" borderId="0" applyFont="0" applyFill="0" applyBorder="0" applyAlignment="0" applyProtection="0"/>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185" fontId="11" fillId="0" borderId="0" applyFont="0" applyFill="0" applyBorder="0" applyAlignment="0" applyProtection="0"/>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169" fontId="11" fillId="0" borderId="0" applyFont="0" applyFill="0" applyBorder="0" applyAlignment="0" applyProtection="0"/>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272" fontId="96" fillId="0" borderId="0" applyFont="0" applyFill="0" applyBorder="0" applyAlignment="0" applyProtection="0"/>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272" fontId="96" fillId="0" borderId="0" applyFont="0" applyFill="0" applyBorder="0" applyAlignment="0" applyProtection="0"/>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78" fillId="0" borderId="0">
      <alignment vertical="top"/>
      <protection/>
    </xf>
    <xf numFmtId="0" fontId="18" fillId="0" borderId="0" applyNumberFormat="0" applyBorder="0" applyAlignment="0">
      <protection/>
    </xf>
    <xf numFmtId="0" fontId="184" fillId="0" borderId="0" applyNumberFormat="0" applyBorder="0" applyAlignment="0">
      <protection/>
    </xf>
    <xf numFmtId="0" fontId="185" fillId="0" borderId="0" applyNumberFormat="0" applyBorder="0" applyAlignment="0">
      <protection/>
    </xf>
    <xf numFmtId="0" fontId="95" fillId="0" borderId="0" applyNumberFormat="0" applyFill="0" applyBorder="0" applyProtection="0">
      <alignment horizontal="left" vertical="center"/>
    </xf>
    <xf numFmtId="0" fontId="95" fillId="0" borderId="30" applyNumberFormat="0" applyFill="0" applyProtection="0">
      <alignment horizontal="left" vertical="center"/>
    </xf>
    <xf numFmtId="0" fontId="86" fillId="74" borderId="0" applyNumberFormat="0" applyFont="0" applyBorder="0">
      <alignment horizontal="center" vertical="center"/>
      <protection locked="0"/>
    </xf>
    <xf numFmtId="9" fontId="11" fillId="0" borderId="0">
      <alignment/>
      <protection/>
    </xf>
    <xf numFmtId="0" fontId="97" fillId="0" borderId="0" applyFill="0" applyBorder="0" applyProtection="0">
      <alignment horizontal="center" vertical="center"/>
    </xf>
    <xf numFmtId="0" fontId="186" fillId="0" borderId="0" applyBorder="0" applyProtection="0">
      <alignment vertical="center"/>
    </xf>
    <xf numFmtId="171" fontId="11" fillId="0" borderId="16" applyBorder="0" applyProtection="0">
      <alignment horizontal="right" vertical="center"/>
    </xf>
    <xf numFmtId="0" fontId="187" fillId="75" borderId="0" applyBorder="0" applyProtection="0">
      <alignment horizontal="centerContinuous" vertical="center"/>
    </xf>
    <xf numFmtId="0" fontId="187" fillId="73" borderId="16" applyBorder="0" applyProtection="0">
      <alignment horizontal="centerContinuous" vertical="center"/>
    </xf>
    <xf numFmtId="0" fontId="188" fillId="0" borderId="0">
      <alignment/>
      <protection/>
    </xf>
    <xf numFmtId="0" fontId="97" fillId="0" borderId="0" applyFill="0" applyBorder="0" applyProtection="0">
      <alignment/>
    </xf>
    <xf numFmtId="0" fontId="158" fillId="0" borderId="0">
      <alignment/>
      <protection/>
    </xf>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protection/>
    </xf>
    <xf numFmtId="0" fontId="11" fillId="24" borderId="46" applyNumberFormat="0">
      <alignment/>
      <protection/>
    </xf>
    <xf numFmtId="0" fontId="192" fillId="24" borderId="47" applyNumberFormat="0" applyBorder="0" applyProtection="0">
      <alignment/>
    </xf>
    <xf numFmtId="0" fontId="11" fillId="24" borderId="46" applyNumberFormat="0" applyProtection="0">
      <alignment horizontal="centerContinuous" vertical="center"/>
    </xf>
    <xf numFmtId="0" fontId="193" fillId="76" borderId="0" applyNumberFormat="0" applyBorder="0" applyProtection="0">
      <alignment/>
    </xf>
    <xf numFmtId="241" fontId="11" fillId="24" borderId="0" applyBorder="0" applyProtection="0">
      <alignment/>
    </xf>
    <xf numFmtId="49" fontId="77" fillId="0" borderId="16">
      <alignment vertical="center"/>
      <protection/>
    </xf>
    <xf numFmtId="0" fontId="194" fillId="0" borderId="0">
      <alignment/>
      <protection/>
    </xf>
    <xf numFmtId="0" fontId="195" fillId="0" borderId="0">
      <alignment/>
      <protection/>
    </xf>
    <xf numFmtId="49" fontId="18" fillId="0" borderId="0" applyFill="0" applyBorder="0" applyAlignment="0">
      <protection/>
    </xf>
    <xf numFmtId="274" fontId="78" fillId="0" borderId="0" applyFill="0" applyBorder="0" applyAlignment="0">
      <protection/>
    </xf>
    <xf numFmtId="275" fontId="78" fillId="0" borderId="0" applyFill="0" applyBorder="0" applyAlignment="0">
      <protection/>
    </xf>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alignment/>
      <protection/>
    </xf>
    <xf numFmtId="0" fontId="197" fillId="0" borderId="0" applyNumberFormat="0" applyBorder="0" applyAlignment="0" applyProtection="0"/>
    <xf numFmtId="0" fontId="197" fillId="0" borderId="0" applyNumberFormat="0" applyBorder="0" applyAlignment="0" applyProtection="0"/>
    <xf numFmtId="0" fontId="198" fillId="0" borderId="0">
      <alignment horizontal="left"/>
      <protection/>
    </xf>
    <xf numFmtId="0" fontId="199" fillId="73" borderId="0" applyNumberFormat="0" applyProtection="0">
      <alignment horizontal="left" vertical="center"/>
    </xf>
    <xf numFmtId="0" fontId="200" fillId="0" borderId="0" applyNumberFormat="0" applyProtection="0">
      <alignment horizontal="left" vertical="center"/>
    </xf>
    <xf numFmtId="0" fontId="99" fillId="0" borderId="0" applyBorder="0">
      <alignment/>
      <protection/>
    </xf>
    <xf numFmtId="0" fontId="78" fillId="60" borderId="0" applyNumberFormat="0" applyFont="0" applyBorder="0" applyProtection="0">
      <alignment horizontal="left"/>
    </xf>
    <xf numFmtId="0" fontId="11" fillId="0" borderId="0" applyNumberFormat="0" applyFill="0" applyBorder="0" applyProtection="0">
      <alignment vertical="top"/>
    </xf>
    <xf numFmtId="0" fontId="3"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0" fontId="201" fillId="0" borderId="48" applyNumberFormat="0" applyFill="0" applyAlignment="0" applyProtection="0"/>
    <xf numFmtId="39" fontId="11" fillId="0" borderId="12">
      <alignment/>
      <protection locked="0"/>
    </xf>
    <xf numFmtId="165" fontId="191" fillId="0" borderId="12" applyFill="0" applyAlignment="0" applyProtection="0"/>
    <xf numFmtId="171" fontId="83" fillId="0" borderId="49">
      <alignment/>
      <protection/>
    </xf>
    <xf numFmtId="0" fontId="202" fillId="0" borderId="0">
      <alignment horizontal="fill"/>
      <protection/>
    </xf>
    <xf numFmtId="278" fontId="171" fillId="20" borderId="15" applyBorder="0">
      <alignment horizontal="right" vertical="center"/>
      <protection locked="0"/>
    </xf>
    <xf numFmtId="167" fontId="11" fillId="0" borderId="0" applyFont="0" applyFill="0" applyBorder="0" applyAlignment="0" applyProtection="0"/>
    <xf numFmtId="279" fontId="11" fillId="0" borderId="0" applyFont="0" applyFill="0" applyBorder="0" applyAlignment="0" applyProtection="0"/>
    <xf numFmtId="167" fontId="11" fillId="0" borderId="0" applyFont="0" applyFill="0" applyBorder="0" applyAlignment="0" applyProtection="0"/>
    <xf numFmtId="169" fontId="11" fillId="0" borderId="0" applyFont="0" applyFill="0" applyBorder="0" applyAlignment="0" applyProtection="0"/>
    <xf numFmtId="0" fontId="203" fillId="24"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alignment/>
      <protection/>
    </xf>
    <xf numFmtId="1" fontId="204" fillId="0" borderId="0">
      <alignment/>
      <protection/>
    </xf>
    <xf numFmtId="280" fontId="96" fillId="0" borderId="0" applyFont="0" applyFill="0" applyBorder="0" applyProtection="0">
      <alignment horizontal="right"/>
    </xf>
    <xf numFmtId="281" fontId="11" fillId="0" borderId="0">
      <alignment/>
      <protection/>
    </xf>
    <xf numFmtId="282" fontId="160" fillId="0" borderId="0" applyFill="0" applyBorder="0" applyProtection="0">
      <alignment/>
    </xf>
    <xf numFmtId="0" fontId="11" fillId="0" borderId="0">
      <alignment horizontal="center"/>
      <protection/>
    </xf>
    <xf numFmtId="283" fontId="77" fillId="0" borderId="16">
      <alignment horizontal="right"/>
      <protection/>
    </xf>
    <xf numFmtId="284" fontId="11" fillId="0" borderId="0" applyFont="0" applyFill="0" applyBorder="0" applyAlignment="0" applyProtection="0"/>
    <xf numFmtId="285" fontId="88" fillId="0" borderId="0" applyFont="0" applyFill="0" applyBorder="0" applyProtection="0">
      <alignment horizontal="right"/>
    </xf>
    <xf numFmtId="0" fontId="11" fillId="0" borderId="0">
      <alignment/>
      <protection/>
    </xf>
    <xf numFmtId="43" fontId="11" fillId="0" borderId="0" applyFont="0" applyFill="0" applyBorder="0" applyAlignment="0" applyProtection="0"/>
    <xf numFmtId="257" fontId="11" fillId="0" borderId="0">
      <alignment/>
      <protection/>
    </xf>
    <xf numFmtId="0" fontId="43" fillId="0" borderId="0">
      <alignment/>
      <protection/>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2" fillId="0" borderId="0">
      <alignment/>
      <protection/>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1" fillId="0" borderId="11">
      <alignment horizontal="right"/>
      <protection/>
    </xf>
    <xf numFmtId="204" fontId="86" fillId="0" borderId="11">
      <alignment horizontal="right"/>
      <protection/>
    </xf>
    <xf numFmtId="204" fontId="86" fillId="0" borderId="11" applyFill="0">
      <alignment horizontal="right"/>
      <protection/>
    </xf>
    <xf numFmtId="3" fontId="11" fillId="0" borderId="11" applyFill="0">
      <alignment horizontal="right"/>
      <protection/>
    </xf>
    <xf numFmtId="205" fontId="86" fillId="0" borderId="11" applyFill="0">
      <alignment horizontal="right"/>
      <protection/>
    </xf>
    <xf numFmtId="207" fontId="11" fillId="0" borderId="11">
      <alignment horizontal="right"/>
      <protection locked="0"/>
    </xf>
    <xf numFmtId="0" fontId="86" fillId="0" borderId="11" applyNumberFormat="0" applyFont="0" applyBorder="0" applyProtection="0">
      <alignment horizontal="right"/>
    </xf>
    <xf numFmtId="0" fontId="92" fillId="52" borderId="15" applyNumberFormat="0" applyBorder="0">
      <alignment/>
      <protection hidden="1"/>
    </xf>
    <xf numFmtId="0" fontId="95" fillId="0" borderId="16" applyNumberFormat="0" applyFill="0" applyAlignment="0" applyProtection="0"/>
    <xf numFmtId="0" fontId="81" fillId="0" borderId="16" applyNumberFormat="0" applyFont="0" applyFill="0" applyAlignment="0" applyProtection="0"/>
    <xf numFmtId="0" fontId="81" fillId="0" borderId="15" applyNumberFormat="0" applyFont="0" applyFill="0" applyAlignment="0" applyProtection="0"/>
    <xf numFmtId="229" fontId="79" fillId="23" borderId="26" applyFont="0" applyFill="0" applyBorder="0" applyAlignment="0" applyProtection="0"/>
    <xf numFmtId="231" fontId="83" fillId="0" borderId="16" applyFont="0" applyFill="0" applyBorder="0" applyAlignment="0" applyProtection="0"/>
    <xf numFmtId="235" fontId="99" fillId="57" borderId="15">
      <alignment horizontal="left"/>
      <protection/>
    </xf>
    <xf numFmtId="2" fontId="147" fillId="0" borderId="16">
      <alignment/>
      <protection/>
    </xf>
    <xf numFmtId="14" fontId="83" fillId="0" borderId="1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1" fillId="0" borderId="16" applyBorder="0" applyProtection="0">
      <alignment horizontal="right" vertical="center"/>
    </xf>
    <xf numFmtId="43" fontId="0" fillId="0" borderId="0" applyFont="0" applyFill="0" applyBorder="0" applyAlignment="0" applyProtection="0"/>
    <xf numFmtId="0" fontId="187" fillId="73" borderId="16" applyBorder="0" applyProtection="0">
      <alignment horizontal="centerContinuous" vertical="center"/>
    </xf>
    <xf numFmtId="49" fontId="77" fillId="0" borderId="16">
      <alignment vertical="center"/>
      <protection/>
    </xf>
    <xf numFmtId="278" fontId="171" fillId="20" borderId="15" applyBorder="0">
      <alignment horizontal="right" vertical="center"/>
      <protection locked="0"/>
    </xf>
    <xf numFmtId="283" fontId="77" fillId="0" borderId="16">
      <alignment horizontal="right"/>
      <protection/>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62" borderId="39">
      <alignment horizontal="left" vertical="center" wrapText="1"/>
      <protection/>
    </xf>
    <xf numFmtId="166" fontId="111" fillId="0" borderId="23">
      <alignment/>
      <protection locked="0"/>
    </xf>
    <xf numFmtId="208" fontId="88" fillId="50" borderId="14">
      <alignment/>
      <protection/>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92" fillId="24" borderId="47" applyNumberFormat="0" applyBorder="0" applyProtection="0">
      <alignment/>
    </xf>
    <xf numFmtId="171" fontId="83" fillId="0" borderId="49">
      <alignment/>
      <protection/>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6" fillId="20" borderId="1" applyNumberFormat="0" applyAlignment="0" applyProtection="0"/>
    <xf numFmtId="0" fontId="23" fillId="0" borderId="5" applyNumberFormat="0" applyFill="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9" fillId="0" borderId="10" applyNumberFormat="0" applyFill="0" applyAlignment="0" applyProtection="0"/>
    <xf numFmtId="0" fontId="16"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9" fillId="0" borderId="10" applyNumberFormat="0" applyFill="0" applyAlignment="0" applyProtection="0"/>
    <xf numFmtId="0" fontId="11" fillId="24" borderId="9" applyNumberFormat="0" applyProtection="0">
      <alignment horizontal="left" vertical="center"/>
    </xf>
    <xf numFmtId="0" fontId="11" fillId="24" borderId="9" applyNumberFormat="0" applyProtection="0">
      <alignment horizontal="left" vertical="center"/>
    </xf>
    <xf numFmtId="0" fontId="16"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9" fillId="0" borderId="10" applyNumberFormat="0" applyFill="0" applyAlignment="0" applyProtection="0"/>
    <xf numFmtId="0" fontId="16"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9" fillId="0" borderId="10" applyNumberFormat="0" applyFill="0" applyAlignment="0" applyProtection="0"/>
    <xf numFmtId="0" fontId="89" fillId="0" borderId="0">
      <alignment/>
      <protection/>
    </xf>
  </cellStyleXfs>
  <cellXfs count="928">
    <xf numFmtId="0" fontId="0" fillId="0" borderId="0" xfId="0"/>
    <xf numFmtId="0" fontId="0" fillId="77" borderId="0" xfId="0" applyFill="1"/>
    <xf numFmtId="0" fontId="2" fillId="77" borderId="0" xfId="0" applyFont="1" applyFill="1"/>
    <xf numFmtId="0" fontId="5" fillId="77" borderId="0" xfId="0" applyFont="1" applyFill="1"/>
    <xf numFmtId="0" fontId="33" fillId="77" borderId="0" xfId="0" applyFont="1" applyFill="1" applyAlignment="1">
      <alignment/>
    </xf>
    <xf numFmtId="0" fontId="6" fillId="77" borderId="0" xfId="0" applyFont="1" applyFill="1"/>
    <xf numFmtId="0" fontId="5" fillId="77" borderId="0" xfId="0" applyFont="1" applyFill="1" applyAlignment="1">
      <alignment wrapText="1"/>
    </xf>
    <xf numFmtId="0" fontId="35" fillId="77" borderId="0" xfId="0" applyFont="1" applyFill="1"/>
    <xf numFmtId="0" fontId="3" fillId="77" borderId="0" xfId="0" applyFont="1" applyFill="1"/>
    <xf numFmtId="0" fontId="0" fillId="77" borderId="0" xfId="0" applyFont="1" applyFill="1"/>
    <xf numFmtId="0" fontId="0" fillId="77" borderId="0" xfId="0" applyFill="1" applyAlignment="1">
      <alignment horizontal="left"/>
    </xf>
    <xf numFmtId="0" fontId="0" fillId="77" borderId="0" xfId="0" applyFill="1" applyAlignment="1">
      <alignment horizontal="center"/>
    </xf>
    <xf numFmtId="0" fontId="0" fillId="77" borderId="0" xfId="0" applyFill="1"/>
    <xf numFmtId="177" fontId="0" fillId="77" borderId="0" xfId="0" applyNumberFormat="1" applyFont="1" applyFill="1"/>
    <xf numFmtId="0" fontId="6" fillId="77" borderId="0" xfId="0" applyFont="1" applyFill="1" applyBorder="1"/>
    <xf numFmtId="0" fontId="33" fillId="77" borderId="0" xfId="0" applyFont="1" applyFill="1" applyAlignment="1">
      <alignment vertical="center"/>
    </xf>
    <xf numFmtId="0" fontId="0" fillId="77" borderId="0" xfId="0" applyFill="1" applyBorder="1"/>
    <xf numFmtId="0" fontId="12" fillId="77" borderId="0" xfId="0" applyFont="1" applyFill="1"/>
    <xf numFmtId="0" fontId="6" fillId="77" borderId="0" xfId="0" applyFont="1" applyFill="1"/>
    <xf numFmtId="8" fontId="4" fillId="77" borderId="0" xfId="0" applyNumberFormat="1" applyFont="1" applyFill="1" applyBorder="1" applyAlignment="1">
      <alignment horizontal="center"/>
    </xf>
    <xf numFmtId="0" fontId="2" fillId="77" borderId="0" xfId="0" applyFont="1" applyFill="1" applyBorder="1"/>
    <xf numFmtId="0" fontId="2" fillId="77" borderId="0" xfId="0" applyFont="1" applyFill="1" applyAlignment="1">
      <alignment horizontal="center"/>
    </xf>
    <xf numFmtId="0" fontId="3" fillId="77" borderId="0" xfId="0" applyFont="1" applyFill="1" applyBorder="1" applyAlignment="1">
      <alignment horizontal="center" vertical="center"/>
    </xf>
    <xf numFmtId="0" fontId="32" fillId="77" borderId="0" xfId="0" applyFont="1" applyFill="1" applyAlignment="1">
      <alignment horizontal="center"/>
    </xf>
    <xf numFmtId="0" fontId="32" fillId="77" borderId="0" xfId="0" applyFont="1" applyFill="1" applyAlignment="1">
      <alignment horizontal="center" vertical="center"/>
    </xf>
    <xf numFmtId="0" fontId="12" fillId="77" borderId="0" xfId="0" applyFont="1" applyFill="1" applyAlignment="1">
      <alignment horizontal="center"/>
    </xf>
    <xf numFmtId="0" fontId="0" fillId="77" borderId="0" xfId="0" applyFont="1" applyFill="1" applyAlignment="1">
      <alignment horizontal="left"/>
    </xf>
    <xf numFmtId="0" fontId="39" fillId="77" borderId="0" xfId="0" applyFont="1" applyFill="1"/>
    <xf numFmtId="0" fontId="0" fillId="77" borderId="0" xfId="0" applyFont="1" applyFill="1" applyBorder="1"/>
    <xf numFmtId="0" fontId="43" fillId="77" borderId="0" xfId="0" applyFont="1" applyFill="1"/>
    <xf numFmtId="0" fontId="41" fillId="77" borderId="0" xfId="0" applyFont="1" applyFill="1" applyAlignment="1">
      <alignment horizontal="left"/>
    </xf>
    <xf numFmtId="0" fontId="38" fillId="77" borderId="0" xfId="0" applyFont="1" applyFill="1" applyBorder="1" applyAlignment="1">
      <alignment horizontal="left" vertical="center"/>
    </xf>
    <xf numFmtId="0" fontId="0" fillId="77" borderId="0" xfId="0" applyFont="1" applyFill="1" applyAlignment="1">
      <alignment vertical="center"/>
    </xf>
    <xf numFmtId="0" fontId="39" fillId="77" borderId="0" xfId="0" applyFont="1" applyFill="1" applyAlignment="1">
      <alignment horizontal="left"/>
    </xf>
    <xf numFmtId="0" fontId="42" fillId="77" borderId="0" xfId="0" applyFont="1" applyFill="1" applyBorder="1" applyAlignment="1">
      <alignment horizontal="center" vertical="center"/>
    </xf>
    <xf numFmtId="0" fontId="48" fillId="77" borderId="0" xfId="0" applyFont="1" applyFill="1" applyBorder="1" applyAlignment="1">
      <alignment vertical="center"/>
    </xf>
    <xf numFmtId="0" fontId="38" fillId="77" borderId="0" xfId="0" applyFont="1" applyFill="1" applyBorder="1" applyAlignment="1">
      <alignment vertical="center"/>
    </xf>
    <xf numFmtId="0" fontId="3" fillId="77" borderId="0" xfId="0" applyFont="1" applyFill="1" applyBorder="1"/>
    <xf numFmtId="177" fontId="0" fillId="77" borderId="0" xfId="0" applyNumberFormat="1" applyFont="1" applyFill="1" applyBorder="1"/>
    <xf numFmtId="0" fontId="46" fillId="77" borderId="0" xfId="0" applyFont="1" applyFill="1" applyBorder="1" applyAlignment="1">
      <alignment horizontal="left"/>
    </xf>
    <xf numFmtId="0" fontId="46" fillId="77" borderId="0" xfId="0" applyFont="1" applyFill="1" applyBorder="1"/>
    <xf numFmtId="0" fontId="5" fillId="77" borderId="0" xfId="0" applyFont="1" applyFill="1" applyBorder="1" applyAlignment="1">
      <alignment wrapText="1"/>
    </xf>
    <xf numFmtId="0" fontId="39" fillId="77" borderId="0" xfId="0" applyFont="1" applyFill="1" applyAlignment="1">
      <alignment horizontal="center" vertical="center"/>
    </xf>
    <xf numFmtId="0" fontId="34" fillId="77" borderId="0" xfId="0" applyFont="1" applyFill="1" applyAlignment="1">
      <alignment vertical="top"/>
    </xf>
    <xf numFmtId="0" fontId="55" fillId="77" borderId="0" xfId="0" applyFont="1" applyFill="1" applyAlignment="1">
      <alignment vertical="top"/>
    </xf>
    <xf numFmtId="0" fontId="48" fillId="77" borderId="0" xfId="0" applyFont="1" applyFill="1" applyAlignment="1">
      <alignment horizontal="left"/>
    </xf>
    <xf numFmtId="180" fontId="43" fillId="28" borderId="50" xfId="16" applyNumberFormat="1" applyFont="1" applyFill="1" applyBorder="1" applyAlignment="1" applyProtection="1">
      <alignment horizontal="center"/>
      <protection locked="0"/>
    </xf>
    <xf numFmtId="0" fontId="51" fillId="77" borderId="0" xfId="0" applyFont="1" applyFill="1" applyAlignment="1">
      <alignment horizontal="center"/>
    </xf>
    <xf numFmtId="0" fontId="32" fillId="77" borderId="0" xfId="0" applyFont="1" applyFill="1" applyAlignment="1">
      <alignment horizontal="center" wrapText="1"/>
    </xf>
    <xf numFmtId="0" fontId="6" fillId="77" borderId="0" xfId="0" applyFont="1" applyFill="1" applyAlignment="1">
      <alignment horizontal="left"/>
    </xf>
    <xf numFmtId="0" fontId="0" fillId="77" borderId="0" xfId="0" applyFill="1" applyAlignment="1">
      <alignment vertical="top"/>
    </xf>
    <xf numFmtId="0" fontId="48" fillId="77" borderId="0" xfId="0" applyFont="1" applyFill="1" applyAlignment="1">
      <alignment vertical="top"/>
    </xf>
    <xf numFmtId="0" fontId="32" fillId="77" borderId="0" xfId="0" applyFont="1" applyFill="1" applyAlignment="1">
      <alignment horizontal="center" vertical="top"/>
    </xf>
    <xf numFmtId="0" fontId="57" fillId="77" borderId="0" xfId="0" applyFont="1" applyFill="1" applyAlignment="1">
      <alignment vertical="center"/>
    </xf>
    <xf numFmtId="0" fontId="10" fillId="77" borderId="0" xfId="0" applyFont="1" applyFill="1" applyAlignment="1">
      <alignment vertical="center"/>
    </xf>
    <xf numFmtId="0" fontId="58" fillId="77" borderId="0" xfId="0" applyFont="1" applyFill="1" applyAlignment="1">
      <alignment horizontal="center" wrapText="1"/>
    </xf>
    <xf numFmtId="0" fontId="58" fillId="77" borderId="0" xfId="0" applyFont="1" applyFill="1" applyAlignment="1">
      <alignment horizontal="center"/>
    </xf>
    <xf numFmtId="0" fontId="58" fillId="77" borderId="0" xfId="0" applyFont="1" applyFill="1" applyAlignment="1">
      <alignment horizontal="center" vertical="center"/>
    </xf>
    <xf numFmtId="0" fontId="59" fillId="77" borderId="0" xfId="0" applyFont="1" applyFill="1"/>
    <xf numFmtId="0" fontId="59" fillId="77" borderId="0" xfId="0" applyFont="1" applyFill="1" applyAlignment="1">
      <alignment horizontal="center"/>
    </xf>
    <xf numFmtId="0" fontId="50" fillId="78" borderId="51" xfId="0" applyFont="1" applyFill="1" applyBorder="1" applyAlignment="1">
      <alignment horizontal="center" vertical="center"/>
    </xf>
    <xf numFmtId="0" fontId="7" fillId="77" borderId="0" xfId="0" applyFont="1" applyFill="1" applyAlignment="1">
      <alignment horizontal="left" vertical="center" wrapText="1"/>
    </xf>
    <xf numFmtId="0" fontId="57" fillId="77" borderId="0" xfId="0" applyFont="1" applyFill="1" applyAlignment="1">
      <alignment/>
    </xf>
    <xf numFmtId="0" fontId="4" fillId="77" borderId="0" xfId="0" applyFont="1" applyFill="1"/>
    <xf numFmtId="0" fontId="207" fillId="77" borderId="0" xfId="0" applyFont="1" applyFill="1"/>
    <xf numFmtId="180" fontId="43" fillId="77" borderId="50" xfId="16" applyNumberFormat="1" applyFont="1" applyFill="1" applyBorder="1" applyAlignment="1" applyProtection="1">
      <alignment horizontal="center"/>
      <protection locked="0"/>
    </xf>
    <xf numFmtId="0" fontId="0" fillId="77" borderId="0" xfId="0" applyFont="1" applyFill="1" applyAlignment="1">
      <alignment horizontal="center"/>
    </xf>
    <xf numFmtId="0" fontId="46" fillId="77" borderId="0" xfId="0" applyFont="1" applyFill="1" applyAlignment="1">
      <alignment horizontal="center" vertical="center"/>
    </xf>
    <xf numFmtId="0" fontId="39" fillId="77" borderId="0" xfId="0" applyFont="1" applyFill="1" applyAlignment="1">
      <alignment horizontal="center"/>
    </xf>
    <xf numFmtId="180" fontId="43" fillId="28" borderId="52" xfId="16" applyNumberFormat="1" applyFont="1" applyFill="1" applyBorder="1" applyAlignment="1" applyProtection="1">
      <alignment horizontal="center"/>
      <protection locked="0"/>
    </xf>
    <xf numFmtId="0" fontId="5" fillId="77" borderId="0" xfId="0" applyFont="1" applyFill="1" applyBorder="1"/>
    <xf numFmtId="180" fontId="43" fillId="77" borderId="0" xfId="16" applyNumberFormat="1" applyFont="1" applyFill="1" applyBorder="1" applyAlignment="1" applyProtection="1">
      <alignment horizontal="center"/>
      <protection locked="0"/>
    </xf>
    <xf numFmtId="0" fontId="33" fillId="77" borderId="0" xfId="0" applyFont="1" applyFill="1" applyBorder="1" applyAlignment="1">
      <alignment/>
    </xf>
    <xf numFmtId="180" fontId="43" fillId="77" borderId="15" xfId="16" applyNumberFormat="1" applyFont="1" applyFill="1" applyBorder="1" applyAlignment="1" applyProtection="1">
      <alignment horizontal="center"/>
      <protection locked="0"/>
    </xf>
    <xf numFmtId="180" fontId="43" fillId="77" borderId="53" xfId="16" applyNumberFormat="1" applyFont="1" applyFill="1" applyBorder="1" applyAlignment="1" applyProtection="1">
      <alignment horizontal="center"/>
      <protection locked="0"/>
    </xf>
    <xf numFmtId="180" fontId="43" fillId="77" borderId="16" xfId="16" applyNumberFormat="1" applyFont="1" applyFill="1" applyBorder="1" applyAlignment="1" applyProtection="1">
      <alignment horizontal="center"/>
      <protection locked="0"/>
    </xf>
    <xf numFmtId="180" fontId="43" fillId="77" borderId="52" xfId="16" applyNumberFormat="1" applyFont="1" applyFill="1" applyBorder="1" applyAlignment="1" applyProtection="1">
      <alignment horizontal="center"/>
      <protection locked="0"/>
    </xf>
    <xf numFmtId="180" fontId="43" fillId="77" borderId="52" xfId="16" applyNumberFormat="1" applyFont="1" applyFill="1" applyBorder="1" applyAlignment="1" applyProtection="1">
      <alignment horizontal="left"/>
      <protection locked="0"/>
    </xf>
    <xf numFmtId="0" fontId="6" fillId="77" borderId="0" xfId="0" applyFont="1" applyFill="1" applyAlignment="1">
      <alignment vertical="center"/>
    </xf>
    <xf numFmtId="0" fontId="51" fillId="77" borderId="0" xfId="0" applyFont="1" applyFill="1" applyAlignment="1">
      <alignment horizontal="center" vertical="center"/>
    </xf>
    <xf numFmtId="180" fontId="43" fillId="77" borderId="0" xfId="16" applyNumberFormat="1" applyFont="1" applyFill="1" applyBorder="1" applyAlignment="1" applyProtection="1">
      <alignment horizontal="center" vertical="center"/>
      <protection locked="0"/>
    </xf>
    <xf numFmtId="180" fontId="43" fillId="77" borderId="16" xfId="16" applyNumberFormat="1" applyFont="1" applyFill="1" applyBorder="1" applyAlignment="1" applyProtection="1">
      <alignment horizontal="center" vertical="center"/>
      <protection locked="0"/>
    </xf>
    <xf numFmtId="0" fontId="2" fillId="77" borderId="0" xfId="0" applyFont="1" applyFill="1" applyAlignment="1">
      <alignment wrapText="1"/>
    </xf>
    <xf numFmtId="0" fontId="42" fillId="77" borderId="0" xfId="0" applyFont="1" applyFill="1" applyBorder="1" applyAlignment="1">
      <alignment horizontal="left" vertical="center"/>
    </xf>
    <xf numFmtId="0" fontId="51" fillId="77" borderId="0" xfId="0" applyFont="1" applyFill="1" applyAlignment="1">
      <alignment horizontal="center"/>
    </xf>
    <xf numFmtId="178" fontId="49" fillId="28" borderId="54" xfId="59" applyNumberFormat="1" applyFont="1" applyFill="1" applyBorder="1" applyAlignment="1">
      <alignment horizontal="left" vertical="center"/>
    </xf>
    <xf numFmtId="178" fontId="49" fillId="77" borderId="54" xfId="59" applyNumberFormat="1" applyFont="1" applyFill="1" applyBorder="1" applyAlignment="1">
      <alignment horizontal="left" vertical="center"/>
    </xf>
    <xf numFmtId="178" fontId="49" fillId="77" borderId="0" xfId="59" applyNumberFormat="1" applyFont="1" applyFill="1" applyBorder="1" applyAlignment="1">
      <alignment horizontal="left" vertical="top"/>
    </xf>
    <xf numFmtId="0" fontId="32" fillId="77" borderId="0" xfId="0" applyFont="1" applyFill="1" applyAlignment="1">
      <alignment horizontal="center" wrapText="1"/>
    </xf>
    <xf numFmtId="0" fontId="40" fillId="77" borderId="0" xfId="0" applyFont="1" applyFill="1"/>
    <xf numFmtId="0" fontId="46" fillId="77" borderId="0" xfId="0" applyFont="1" applyFill="1"/>
    <xf numFmtId="0" fontId="11" fillId="77" borderId="0" xfId="0" applyFont="1" applyFill="1" applyAlignment="1">
      <alignment/>
    </xf>
    <xf numFmtId="0" fontId="44" fillId="77" borderId="0" xfId="0" applyFont="1" applyFill="1" applyAlignment="1">
      <alignment horizontal="center"/>
    </xf>
    <xf numFmtId="0" fontId="39" fillId="77" borderId="0" xfId="0" applyNumberFormat="1" applyFont="1" applyFill="1" applyBorder="1" applyAlignment="1">
      <alignment horizontal="center"/>
    </xf>
    <xf numFmtId="175" fontId="43" fillId="77" borderId="0" xfId="0" applyNumberFormat="1" applyFont="1" applyFill="1" applyBorder="1" applyAlignment="1">
      <alignment/>
    </xf>
    <xf numFmtId="0" fontId="43" fillId="77" borderId="0" xfId="0" applyNumberFormat="1" applyFont="1" applyFill="1" applyBorder="1" applyAlignment="1">
      <alignment horizontal="center"/>
    </xf>
    <xf numFmtId="0" fontId="46" fillId="77" borderId="0" xfId="0" applyFont="1" applyFill="1" applyAlignment="1">
      <alignment wrapText="1"/>
    </xf>
    <xf numFmtId="0" fontId="31" fillId="77"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77" borderId="0" xfId="0" applyFont="1" applyFill="1" applyAlignment="1">
      <alignment horizontal="left" wrapText="1"/>
    </xf>
    <xf numFmtId="0" fontId="44" fillId="77" borderId="0" xfId="0" applyFont="1" applyFill="1" applyAlignment="1">
      <alignment horizontal="center"/>
    </xf>
    <xf numFmtId="0" fontId="40" fillId="77" borderId="0" xfId="0" applyFont="1" applyFill="1" applyBorder="1" applyAlignment="1">
      <alignment horizontal="left" vertical="top"/>
    </xf>
    <xf numFmtId="178" fontId="49" fillId="26" borderId="54" xfId="59" applyNumberFormat="1" applyFont="1" applyFill="1" applyBorder="1" applyAlignment="1">
      <alignment horizontal="left" vertical="center"/>
    </xf>
    <xf numFmtId="0" fontId="12" fillId="77" borderId="0" xfId="0" applyFont="1" applyFill="1" applyAlignment="1">
      <alignment vertical="center"/>
    </xf>
    <xf numFmtId="0" fontId="2" fillId="77" borderId="0" xfId="0" applyFont="1" applyFill="1" applyAlignment="1">
      <alignment vertical="top"/>
    </xf>
    <xf numFmtId="0" fontId="89" fillId="77" borderId="0" xfId="0" applyFont="1" applyFill="1" applyBorder="1" applyAlignment="1">
      <alignment wrapText="1"/>
    </xf>
    <xf numFmtId="0" fontId="12" fillId="77" borderId="0" xfId="0" applyFont="1" applyFill="1" applyAlignment="1">
      <alignment/>
    </xf>
    <xf numFmtId="0" fontId="213" fillId="77" borderId="0" xfId="0" applyFont="1" applyFill="1" applyBorder="1" applyAlignment="1">
      <alignment vertical="center"/>
    </xf>
    <xf numFmtId="0" fontId="46" fillId="77" borderId="0" xfId="0" applyFont="1" applyFill="1" applyAlignment="1">
      <alignment horizontal="left" wrapText="1"/>
    </xf>
    <xf numFmtId="0" fontId="39" fillId="77" borderId="0" xfId="0" applyFont="1" applyFill="1" applyBorder="1" applyAlignment="1">
      <alignment vertical="center"/>
    </xf>
    <xf numFmtId="0" fontId="46" fillId="77" borderId="0" xfId="0" applyFont="1" applyFill="1" applyAlignment="1">
      <alignment horizontal="left"/>
    </xf>
    <xf numFmtId="0" fontId="35" fillId="77" borderId="0" xfId="0" applyFont="1" applyFill="1" applyAlignment="1">
      <alignment vertical="center"/>
    </xf>
    <xf numFmtId="0" fontId="52" fillId="77" borderId="55" xfId="16" applyNumberFormat="1" applyFont="1" applyFill="1" applyBorder="1" applyAlignment="1" applyProtection="1">
      <alignment horizontal="center" vertical="center"/>
      <protection locked="0"/>
    </xf>
    <xf numFmtId="0" fontId="52" fillId="77" borderId="56" xfId="16" applyNumberFormat="1" applyFont="1" applyFill="1" applyBorder="1" applyAlignment="1" applyProtection="1">
      <alignment horizontal="center" vertical="center"/>
      <protection locked="0"/>
    </xf>
    <xf numFmtId="0" fontId="42" fillId="77" borderId="0" xfId="0" applyFont="1" applyFill="1" applyAlignment="1">
      <alignment horizontal="left"/>
    </xf>
    <xf numFmtId="0" fontId="46" fillId="77" borderId="0" xfId="0" applyFont="1" applyFill="1" applyAlignment="1">
      <alignment horizontal="left" wrapText="1"/>
    </xf>
    <xf numFmtId="0" fontId="45" fillId="77" borderId="0" xfId="0" applyFont="1" applyFill="1" applyBorder="1" applyAlignment="1">
      <alignment horizontal="left" vertical="center"/>
    </xf>
    <xf numFmtId="0" fontId="42" fillId="77" borderId="0" xfId="0" applyFont="1" applyFill="1" applyBorder="1" applyAlignment="1">
      <alignment horizontal="left" vertical="top"/>
    </xf>
    <xf numFmtId="0" fontId="42" fillId="77" borderId="0" xfId="0" applyFont="1" applyFill="1" applyBorder="1" applyAlignment="1">
      <alignment vertical="center"/>
    </xf>
    <xf numFmtId="0" fontId="42" fillId="77" borderId="0" xfId="0" applyFont="1" applyFill="1" applyBorder="1" applyAlignment="1">
      <alignment horizontal="left"/>
    </xf>
    <xf numFmtId="0" fontId="3" fillId="77" borderId="0" xfId="0" applyFont="1" applyFill="1" applyAlignment="1">
      <alignment horizontal="left"/>
    </xf>
    <xf numFmtId="0" fontId="46" fillId="77" borderId="0" xfId="0" applyFont="1" applyFill="1" applyAlignment="1">
      <alignment horizontal="center"/>
    </xf>
    <xf numFmtId="0" fontId="43" fillId="77" borderId="0" xfId="0" applyFont="1" applyFill="1" applyBorder="1" applyAlignment="1">
      <alignment wrapText="1"/>
    </xf>
    <xf numFmtId="0" fontId="0" fillId="77" borderId="0" xfId="0" applyFont="1" applyFill="1" applyBorder="1" applyAlignment="1">
      <alignment/>
    </xf>
    <xf numFmtId="0" fontId="46" fillId="77" borderId="0" xfId="0" applyFont="1" applyFill="1" applyBorder="1" applyAlignment="1">
      <alignment horizontal="left" vertical="center"/>
    </xf>
    <xf numFmtId="0" fontId="46" fillId="77" borderId="0" xfId="0" applyFont="1" applyFill="1" applyBorder="1" applyAlignment="1">
      <alignment horizontal="left" vertical="center" wrapText="1"/>
    </xf>
    <xf numFmtId="178" fontId="210" fillId="28" borderId="54" xfId="59" applyNumberFormat="1" applyFont="1" applyFill="1" applyBorder="1" applyAlignment="1">
      <alignment horizontal="left" vertical="center"/>
    </xf>
    <xf numFmtId="0" fontId="46" fillId="77" borderId="19" xfId="0" applyFont="1" applyFill="1" applyBorder="1" applyAlignment="1">
      <alignment horizontal="left" vertical="center" wrapText="1"/>
    </xf>
    <xf numFmtId="178" fontId="210" fillId="26" borderId="54" xfId="59" applyNumberFormat="1" applyFont="1" applyFill="1" applyBorder="1" applyAlignment="1">
      <alignment horizontal="left" vertical="center"/>
    </xf>
    <xf numFmtId="178" fontId="210" fillId="77" borderId="54" xfId="59" applyNumberFormat="1" applyFont="1" applyFill="1" applyBorder="1" applyAlignment="1">
      <alignment horizontal="left" vertical="center"/>
    </xf>
    <xf numFmtId="0" fontId="48" fillId="77" borderId="0" xfId="0" applyFont="1" applyFill="1" applyAlignment="1">
      <alignment horizontal="center"/>
    </xf>
    <xf numFmtId="287" fontId="214" fillId="77" borderId="54" xfId="16" applyNumberFormat="1" applyFont="1" applyFill="1" applyBorder="1" applyAlignment="1">
      <alignment horizontal="left" vertical="center"/>
    </xf>
    <xf numFmtId="169" fontId="210" fillId="28" borderId="54" xfId="16" applyFont="1" applyFill="1" applyBorder="1" applyAlignment="1">
      <alignment horizontal="left" vertical="center"/>
    </xf>
    <xf numFmtId="174" fontId="211" fillId="78" borderId="28" xfId="25" applyNumberFormat="1" applyFont="1" applyFill="1" applyBorder="1" applyAlignment="1">
      <alignment horizontal="center" vertical="center" wrapText="1"/>
      <protection/>
    </xf>
    <xf numFmtId="174" fontId="211" fillId="78" borderId="20" xfId="25" applyNumberFormat="1" applyFont="1" applyFill="1" applyBorder="1" applyAlignment="1">
      <alignment horizontal="center" vertical="center" wrapText="1"/>
      <protection/>
    </xf>
    <xf numFmtId="174" fontId="211" fillId="78" borderId="9" xfId="25" applyNumberFormat="1" applyFont="1" applyFill="1" applyBorder="1" applyAlignment="1">
      <alignment horizontal="center" vertical="center" wrapText="1"/>
      <protection/>
    </xf>
    <xf numFmtId="0" fontId="215" fillId="77" borderId="0" xfId="0" applyFont="1" applyFill="1"/>
    <xf numFmtId="0" fontId="215" fillId="77" borderId="26" xfId="0" applyFont="1" applyFill="1" applyBorder="1"/>
    <xf numFmtId="175" fontId="89" fillId="77" borderId="57" xfId="0" applyNumberFormat="1" applyFont="1" applyFill="1" applyBorder="1" applyAlignment="1">
      <alignment horizontal="center"/>
    </xf>
    <xf numFmtId="175" fontId="89" fillId="77" borderId="58" xfId="0" applyNumberFormat="1" applyFont="1" applyFill="1" applyBorder="1" applyAlignment="1">
      <alignment horizontal="center"/>
    </xf>
    <xf numFmtId="175" fontId="89" fillId="77" borderId="59" xfId="0" applyNumberFormat="1" applyFont="1" applyFill="1" applyBorder="1" applyAlignment="1">
      <alignment horizontal="center"/>
    </xf>
    <xf numFmtId="175" fontId="89" fillId="77" borderId="36" xfId="0" applyNumberFormat="1" applyFont="1" applyFill="1" applyBorder="1" applyAlignment="1">
      <alignment horizontal="center"/>
    </xf>
    <xf numFmtId="175" fontId="89" fillId="77" borderId="26" xfId="0" applyNumberFormat="1" applyFont="1" applyFill="1" applyBorder="1" applyAlignment="1">
      <alignment horizontal="center"/>
    </xf>
    <xf numFmtId="175" fontId="89" fillId="77" borderId="16" xfId="0" applyNumberFormat="1" applyFont="1" applyFill="1" applyBorder="1" applyAlignment="1">
      <alignment horizontal="center"/>
    </xf>
    <xf numFmtId="175" fontId="42" fillId="77" borderId="26" xfId="0" applyNumberFormat="1" applyFont="1" applyFill="1" applyBorder="1" applyAlignment="1">
      <alignment horizontal="center"/>
    </xf>
    <xf numFmtId="8" fontId="216" fillId="77" borderId="0" xfId="0" applyNumberFormat="1" applyFont="1" applyFill="1" applyBorder="1" applyAlignment="1">
      <alignment horizontal="center"/>
    </xf>
    <xf numFmtId="0" fontId="217" fillId="77" borderId="0" xfId="0" applyFont="1" applyFill="1" applyBorder="1"/>
    <xf numFmtId="8" fontId="217" fillId="77" borderId="0" xfId="0" applyNumberFormat="1" applyFont="1" applyFill="1" applyBorder="1" applyAlignment="1">
      <alignment horizontal="center"/>
    </xf>
    <xf numFmtId="175" fontId="89" fillId="77" borderId="28" xfId="0" applyNumberFormat="1" applyFont="1" applyFill="1" applyBorder="1" applyAlignment="1">
      <alignment horizontal="center"/>
    </xf>
    <xf numFmtId="175" fontId="89" fillId="77" borderId="20" xfId="0" applyNumberFormat="1" applyFont="1" applyFill="1" applyBorder="1" applyAlignment="1">
      <alignment horizontal="center"/>
    </xf>
    <xf numFmtId="8" fontId="89" fillId="77" borderId="20" xfId="0" applyNumberFormat="1" applyFont="1" applyFill="1" applyBorder="1" applyAlignment="1">
      <alignment horizontal="center"/>
    </xf>
    <xf numFmtId="8" fontId="89" fillId="77" borderId="60" xfId="0" applyNumberFormat="1" applyFont="1" applyFill="1" applyBorder="1" applyAlignment="1">
      <alignment horizontal="center"/>
    </xf>
    <xf numFmtId="8" fontId="12" fillId="77" borderId="0" xfId="0" applyNumberFormat="1" applyFont="1" applyFill="1" applyBorder="1" applyAlignment="1">
      <alignment horizontal="center"/>
    </xf>
    <xf numFmtId="177" fontId="12" fillId="77" borderId="0" xfId="0" applyNumberFormat="1" applyFont="1" applyFill="1"/>
    <xf numFmtId="175" fontId="89" fillId="77" borderId="15" xfId="0" applyNumberFormat="1" applyFont="1" applyFill="1" applyBorder="1" applyAlignment="1">
      <alignment horizontal="center"/>
    </xf>
    <xf numFmtId="175" fontId="89" fillId="77" borderId="0" xfId="0" applyNumberFormat="1" applyFont="1" applyFill="1" applyBorder="1" applyAlignment="1">
      <alignment horizontal="center"/>
    </xf>
    <xf numFmtId="8" fontId="89" fillId="77" borderId="0" xfId="0" applyNumberFormat="1" applyFont="1" applyFill="1" applyBorder="1" applyAlignment="1">
      <alignment horizontal="center"/>
    </xf>
    <xf numFmtId="8" fontId="89" fillId="77" borderId="19" xfId="0" applyNumberFormat="1" applyFont="1" applyFill="1" applyBorder="1" applyAlignment="1">
      <alignment horizontal="center"/>
    </xf>
    <xf numFmtId="8" fontId="12" fillId="77" borderId="0" xfId="0" applyNumberFormat="1" applyFont="1" applyFill="1"/>
    <xf numFmtId="8" fontId="215" fillId="77" borderId="0" xfId="0" applyNumberFormat="1" applyFont="1" applyFill="1" applyBorder="1" applyAlignment="1">
      <alignment horizontal="center"/>
    </xf>
    <xf numFmtId="8" fontId="89" fillId="28" borderId="50" xfId="0" applyNumberFormat="1" applyFont="1" applyFill="1" applyBorder="1" applyAlignment="1">
      <alignment horizontal="center"/>
    </xf>
    <xf numFmtId="8" fontId="89" fillId="28" borderId="61" xfId="0" applyNumberFormat="1" applyFont="1" applyFill="1" applyBorder="1" applyAlignment="1">
      <alignment horizontal="center"/>
    </xf>
    <xf numFmtId="8" fontId="89" fillId="28" borderId="52" xfId="0" applyNumberFormat="1" applyFont="1" applyFill="1" applyBorder="1" applyAlignment="1">
      <alignment horizontal="center"/>
    </xf>
    <xf numFmtId="0" fontId="12" fillId="77" borderId="0" xfId="0" applyFont="1" applyFill="1" applyBorder="1"/>
    <xf numFmtId="8" fontId="46" fillId="77" borderId="0" xfId="0" applyNumberFormat="1" applyFont="1" applyFill="1" applyBorder="1" applyAlignment="1">
      <alignment horizontal="center"/>
    </xf>
    <xf numFmtId="0" fontId="217" fillId="77" borderId="0" xfId="0" applyFont="1" applyFill="1"/>
    <xf numFmtId="0" fontId="218" fillId="77" borderId="0" xfId="0" applyFont="1" applyFill="1" applyAlignment="1">
      <alignment wrapText="1"/>
    </xf>
    <xf numFmtId="0" fontId="218" fillId="77" borderId="0" xfId="0" applyFont="1" applyFill="1" applyAlignment="1">
      <alignment/>
    </xf>
    <xf numFmtId="0" fontId="12" fillId="77" borderId="0" xfId="0" applyFont="1" applyFill="1" applyAlignment="1">
      <alignment wrapText="1"/>
    </xf>
    <xf numFmtId="174" fontId="89" fillId="79" borderId="0" xfId="0" applyNumberFormat="1" applyFont="1" applyFill="1" applyBorder="1" applyAlignment="1">
      <alignment horizontal="center" vertical="center" wrapText="1"/>
    </xf>
    <xf numFmtId="0" fontId="46" fillId="0" borderId="9" xfId="0" applyNumberFormat="1" applyFont="1" applyBorder="1" applyAlignment="1">
      <alignment horizontal="center"/>
    </xf>
    <xf numFmtId="0" fontId="46" fillId="0" borderId="9" xfId="0" applyNumberFormat="1" applyFont="1" applyBorder="1" applyAlignment="1">
      <alignment horizontal="center"/>
    </xf>
    <xf numFmtId="0" fontId="46" fillId="77" borderId="62" xfId="0" applyFont="1" applyFill="1" applyBorder="1" applyAlignment="1">
      <alignment vertical="center"/>
    </xf>
    <xf numFmtId="0" fontId="12" fillId="77" borderId="0" xfId="0" applyFont="1" applyFill="1" applyAlignment="1">
      <alignment horizontal="left"/>
    </xf>
    <xf numFmtId="0" fontId="46" fillId="77" borderId="0" xfId="0" applyFont="1" applyFill="1" applyBorder="1" applyAlignment="1">
      <alignment vertical="center" wrapText="1"/>
    </xf>
    <xf numFmtId="0" fontId="12" fillId="77" borderId="0" xfId="0" applyFont="1" applyFill="1" applyAlignment="1">
      <alignment horizontal="left" vertical="center"/>
    </xf>
    <xf numFmtId="0" fontId="46" fillId="77" borderId="0" xfId="0" applyFont="1" applyFill="1" applyAlignment="1">
      <alignment vertical="center"/>
    </xf>
    <xf numFmtId="0" fontId="221" fillId="77" borderId="0" xfId="0" applyFont="1" applyFill="1" applyAlignment="1">
      <alignment horizontal="center" wrapText="1"/>
    </xf>
    <xf numFmtId="0" fontId="222" fillId="77" borderId="0" xfId="0" applyFont="1" applyFill="1" applyAlignment="1">
      <alignment horizontal="center" wrapText="1"/>
    </xf>
    <xf numFmtId="0" fontId="220" fillId="77" borderId="0" xfId="0" applyFont="1" applyFill="1" applyBorder="1" applyAlignment="1">
      <alignment vertical="top"/>
    </xf>
    <xf numFmtId="0" fontId="42" fillId="77" borderId="0" xfId="0" applyFont="1" applyFill="1" applyBorder="1" applyAlignment="1">
      <alignment/>
    </xf>
    <xf numFmtId="0" fontId="42" fillId="77" borderId="0" xfId="0" applyFont="1" applyFill="1" applyAlignment="1">
      <alignment horizontal="left" vertical="top"/>
    </xf>
    <xf numFmtId="0" fontId="42" fillId="77" borderId="0" xfId="0" applyFont="1" applyFill="1" applyAlignment="1">
      <alignment vertical="top"/>
    </xf>
    <xf numFmtId="0" fontId="223" fillId="77" borderId="0" xfId="89" applyFont="1" applyFill="1"/>
    <xf numFmtId="0" fontId="224" fillId="77" borderId="0" xfId="0" applyFont="1" applyFill="1" applyBorder="1" applyAlignment="1">
      <alignment horizontal="left"/>
    </xf>
    <xf numFmtId="0" fontId="224" fillId="77" borderId="0" xfId="0" applyFont="1" applyFill="1" applyBorder="1" applyAlignment="1">
      <alignment horizontal="left" vertical="center"/>
    </xf>
    <xf numFmtId="0" fontId="3" fillId="77" borderId="0" xfId="0" applyFont="1" applyFill="1" applyAlignment="1">
      <alignment vertical="center"/>
    </xf>
    <xf numFmtId="0" fontId="39" fillId="77" borderId="0" xfId="0" applyFont="1" applyFill="1" applyAlignment="1">
      <alignment horizontal="left" vertical="center"/>
    </xf>
    <xf numFmtId="287" fontId="214" fillId="77" borderId="63" xfId="16" applyNumberFormat="1" applyFont="1" applyFill="1" applyBorder="1" applyAlignment="1">
      <alignment horizontal="left" vertical="center"/>
    </xf>
    <xf numFmtId="178" fontId="210" fillId="28" borderId="15" xfId="59" applyNumberFormat="1" applyFont="1" applyFill="1" applyBorder="1" applyAlignment="1">
      <alignment vertical="center"/>
    </xf>
    <xf numFmtId="3" fontId="46" fillId="77" borderId="9" xfId="0" applyNumberFormat="1" applyFont="1" applyFill="1" applyBorder="1" applyAlignment="1">
      <alignment horizontal="center"/>
    </xf>
    <xf numFmtId="0" fontId="39" fillId="0" borderId="9" xfId="0" applyNumberFormat="1" applyFont="1" applyBorder="1" applyAlignment="1">
      <alignment horizontal="center"/>
    </xf>
    <xf numFmtId="0" fontId="12" fillId="77" borderId="9" xfId="0" applyFont="1" applyFill="1" applyBorder="1" applyAlignment="1">
      <alignment horizontal="center"/>
    </xf>
    <xf numFmtId="174" fontId="211" fillId="79" borderId="0" xfId="0" applyNumberFormat="1" applyFont="1" applyFill="1" applyBorder="1" applyAlignment="1">
      <alignment horizontal="center" vertical="center" wrapText="1"/>
    </xf>
    <xf numFmtId="3" fontId="46" fillId="77" borderId="0" xfId="0" applyNumberFormat="1" applyFont="1" applyFill="1" applyBorder="1" applyAlignment="1">
      <alignment horizontal="center"/>
    </xf>
    <xf numFmtId="0" fontId="46" fillId="77" borderId="0" xfId="0" applyFont="1" applyFill="1" applyAlignment="1">
      <alignment horizontal="left" wrapText="1"/>
    </xf>
    <xf numFmtId="169" fontId="46" fillId="77" borderId="0" xfId="16" applyFont="1" applyFill="1"/>
    <xf numFmtId="0" fontId="42" fillId="77" borderId="0" xfId="0" applyFont="1" applyFill="1"/>
    <xf numFmtId="0" fontId="46" fillId="77" borderId="9" xfId="0" applyFont="1" applyFill="1" applyBorder="1" applyAlignment="1">
      <alignment horizontal="center"/>
    </xf>
    <xf numFmtId="169" fontId="42" fillId="77" borderId="0" xfId="16" applyFont="1" applyFill="1"/>
    <xf numFmtId="175" fontId="3" fillId="77" borderId="0" xfId="0" applyNumberFormat="1" applyFont="1" applyFill="1"/>
    <xf numFmtId="174" fontId="50" fillId="78" borderId="51" xfId="25" applyNumberFormat="1" applyFont="1" applyFill="1" applyBorder="1" applyAlignment="1">
      <alignment horizontal="center" vertical="center" wrapText="1"/>
      <protection/>
    </xf>
    <xf numFmtId="174" fontId="50" fillId="78" borderId="9" xfId="25" applyNumberFormat="1" applyFont="1" applyFill="1" applyBorder="1" applyAlignment="1">
      <alignment horizontal="center" vertical="center" wrapText="1"/>
      <protection/>
    </xf>
    <xf numFmtId="174" fontId="50" fillId="77" borderId="0" xfId="25" applyNumberFormat="1" applyFont="1" applyFill="1" applyBorder="1" applyAlignment="1">
      <alignment horizontal="center" vertical="center" wrapText="1"/>
      <protection/>
    </xf>
    <xf numFmtId="174" fontId="50" fillId="78" borderId="57" xfId="25" applyNumberFormat="1" applyFont="1" applyFill="1" applyBorder="1" applyAlignment="1">
      <alignment horizontal="center" vertical="center" wrapText="1"/>
      <protection/>
    </xf>
    <xf numFmtId="10" fontId="39" fillId="77" borderId="57" xfId="0" applyNumberFormat="1" applyFont="1" applyFill="1" applyBorder="1" applyAlignment="1" applyProtection="1">
      <alignment horizontal="center"/>
      <protection locked="0"/>
    </xf>
    <xf numFmtId="10" fontId="39" fillId="77" borderId="0" xfId="0" applyNumberFormat="1" applyFont="1" applyFill="1" applyBorder="1" applyAlignment="1">
      <alignment horizontal="center"/>
    </xf>
    <xf numFmtId="17" fontId="39" fillId="0" borderId="59" xfId="0" applyNumberFormat="1" applyFont="1" applyFill="1" applyBorder="1" applyAlignment="1">
      <alignment horizontal="center"/>
    </xf>
    <xf numFmtId="1" fontId="39" fillId="0" borderId="59" xfId="0" applyNumberFormat="1" applyFont="1" applyFill="1" applyBorder="1" applyAlignment="1">
      <alignment horizontal="center"/>
    </xf>
    <xf numFmtId="0" fontId="39" fillId="0" borderId="59" xfId="0" applyFont="1" applyFill="1" applyBorder="1" applyAlignment="1">
      <alignment horizontal="center"/>
    </xf>
    <xf numFmtId="10" fontId="43" fillId="0" borderId="59" xfId="0" applyNumberFormat="1" applyFont="1" applyFill="1" applyBorder="1" applyAlignment="1">
      <alignment horizontal="center"/>
    </xf>
    <xf numFmtId="173" fontId="43" fillId="0" borderId="64" xfId="16" applyNumberFormat="1" applyFont="1" applyFill="1" applyBorder="1"/>
    <xf numFmtId="173" fontId="43" fillId="0" borderId="59" xfId="16" applyNumberFormat="1" applyFont="1" applyFill="1" applyBorder="1"/>
    <xf numFmtId="10" fontId="39" fillId="77" borderId="64" xfId="0" applyNumberFormat="1" applyFont="1" applyFill="1" applyBorder="1" applyAlignment="1" applyProtection="1">
      <alignment horizontal="center"/>
      <protection locked="0"/>
    </xf>
    <xf numFmtId="17" fontId="39" fillId="77" borderId="59" xfId="0" applyNumberFormat="1" applyFont="1" applyFill="1" applyBorder="1" applyAlignment="1">
      <alignment horizontal="center"/>
    </xf>
    <xf numFmtId="0" fontId="39" fillId="77" borderId="59" xfId="0" applyFont="1" applyFill="1" applyBorder="1" applyAlignment="1">
      <alignment horizontal="center"/>
    </xf>
    <xf numFmtId="17" fontId="40" fillId="77" borderId="65" xfId="0" applyNumberFormat="1" applyFont="1" applyFill="1" applyBorder="1"/>
    <xf numFmtId="0" fontId="40" fillId="77" borderId="65" xfId="0" applyFont="1" applyFill="1" applyBorder="1"/>
    <xf numFmtId="10" fontId="7" fillId="77" borderId="65" xfId="0" applyNumberFormat="1" applyFont="1" applyFill="1" applyBorder="1"/>
    <xf numFmtId="173" fontId="40" fillId="77" borderId="65" xfId="0" applyNumberFormat="1" applyFont="1" applyFill="1" applyBorder="1"/>
    <xf numFmtId="17" fontId="39" fillId="28" borderId="64" xfId="0" applyNumberFormat="1" applyFont="1" applyFill="1" applyBorder="1"/>
    <xf numFmtId="0" fontId="39" fillId="28" borderId="64" xfId="0" applyFont="1" applyFill="1" applyBorder="1"/>
    <xf numFmtId="10" fontId="43" fillId="28" borderId="64" xfId="0" applyNumberFormat="1" applyFont="1" applyFill="1" applyBorder="1"/>
    <xf numFmtId="173" fontId="39" fillId="28" borderId="64" xfId="0" applyNumberFormat="1" applyFont="1" applyFill="1" applyBorder="1" applyProtection="1">
      <protection locked="0"/>
    </xf>
    <xf numFmtId="173" fontId="43" fillId="28" borderId="64" xfId="16" applyNumberFormat="1" applyFont="1" applyFill="1" applyBorder="1" applyProtection="1">
      <protection/>
    </xf>
    <xf numFmtId="17" fontId="47" fillId="77" borderId="64" xfId="0" applyNumberFormat="1" applyFont="1" applyFill="1" applyBorder="1"/>
    <xf numFmtId="0" fontId="47" fillId="77" borderId="64" xfId="0" applyFont="1" applyFill="1" applyBorder="1"/>
    <xf numFmtId="10" fontId="7" fillId="77" borderId="64" xfId="0" applyNumberFormat="1" applyFont="1" applyFill="1" applyBorder="1"/>
    <xf numFmtId="173" fontId="47" fillId="77" borderId="64" xfId="0" applyNumberFormat="1" applyFont="1" applyFill="1" applyBorder="1"/>
    <xf numFmtId="10" fontId="43" fillId="77" borderId="59" xfId="0" applyNumberFormat="1" applyFont="1" applyFill="1" applyBorder="1" applyAlignment="1">
      <alignment horizontal="center"/>
    </xf>
    <xf numFmtId="173" fontId="43" fillId="77" borderId="64" xfId="16" applyNumberFormat="1" applyFont="1" applyFill="1" applyBorder="1"/>
    <xf numFmtId="173" fontId="43" fillId="77" borderId="59" xfId="16" applyNumberFormat="1" applyFont="1" applyFill="1" applyBorder="1"/>
    <xf numFmtId="10" fontId="43" fillId="77" borderId="59" xfId="0" applyNumberFormat="1" applyFont="1" applyFill="1" applyBorder="1" applyAlignment="1" quotePrefix="1">
      <alignment horizontal="center"/>
    </xf>
    <xf numFmtId="10" fontId="39" fillId="28" borderId="64" xfId="0" applyNumberFormat="1" applyFont="1" applyFill="1" applyBorder="1" applyAlignment="1" applyProtection="1">
      <alignment horizontal="center"/>
      <protection locked="0"/>
    </xf>
    <xf numFmtId="17" fontId="7" fillId="77" borderId="65" xfId="0" applyNumberFormat="1" applyFont="1" applyFill="1" applyBorder="1"/>
    <xf numFmtId="10" fontId="39" fillId="77" borderId="66" xfId="0" applyNumberFormat="1" applyFont="1" applyFill="1" applyBorder="1" applyAlignment="1" applyProtection="1">
      <alignment horizontal="center"/>
      <protection locked="0"/>
    </xf>
    <xf numFmtId="10" fontId="39" fillId="28" borderId="66" xfId="0" applyNumberFormat="1" applyFont="1" applyFill="1" applyBorder="1" applyAlignment="1" applyProtection="1">
      <alignment horizontal="center"/>
      <protection locked="0"/>
    </xf>
    <xf numFmtId="0" fontId="226" fillId="77" borderId="0" xfId="0" applyFont="1" applyFill="1" applyAlignment="1">
      <alignment horizontal="center"/>
    </xf>
    <xf numFmtId="0" fontId="226" fillId="77" borderId="0" xfId="0" applyFont="1" applyFill="1"/>
    <xf numFmtId="0" fontId="3" fillId="77" borderId="0" xfId="0" applyFont="1" applyFill="1" applyAlignment="1">
      <alignment horizontal="center"/>
    </xf>
    <xf numFmtId="10" fontId="43" fillId="28" borderId="59" xfId="0" applyNumberFormat="1" applyFont="1" applyFill="1" applyBorder="1" applyAlignment="1">
      <alignment horizontal="center"/>
    </xf>
    <xf numFmtId="0" fontId="220" fillId="77" borderId="0" xfId="0" applyFont="1" applyFill="1" applyAlignment="1">
      <alignment vertical="center"/>
    </xf>
    <xf numFmtId="287" fontId="214" fillId="77" borderId="67" xfId="16" applyNumberFormat="1" applyFont="1" applyFill="1" applyBorder="1" applyAlignment="1">
      <alignment horizontal="left" vertical="center"/>
    </xf>
    <xf numFmtId="174" fontId="211" fillId="80" borderId="9" xfId="0" applyNumberFormat="1" applyFont="1" applyFill="1" applyBorder="1" applyAlignment="1">
      <alignment horizontal="center" vertical="center" wrapText="1"/>
    </xf>
    <xf numFmtId="174" fontId="50" fillId="80" borderId="9" xfId="0" applyNumberFormat="1" applyFont="1" applyFill="1" applyBorder="1" applyAlignment="1">
      <alignment horizontal="center" vertical="center" wrapText="1"/>
    </xf>
    <xf numFmtId="0" fontId="215" fillId="77" borderId="9" xfId="0" applyFont="1" applyFill="1" applyBorder="1" applyAlignment="1">
      <alignment horizontal="left" vertical="top" wrapText="1"/>
    </xf>
    <xf numFmtId="0" fontId="215" fillId="77" borderId="68" xfId="0" applyFont="1" applyFill="1" applyBorder="1" applyAlignment="1">
      <alignment vertical="top"/>
    </xf>
    <xf numFmtId="0" fontId="12" fillId="77" borderId="30" xfId="0" applyFont="1" applyFill="1" applyBorder="1" applyAlignment="1">
      <alignment vertical="top"/>
    </xf>
    <xf numFmtId="0" fontId="12" fillId="77" borderId="69" xfId="0" applyFont="1" applyFill="1" applyBorder="1" applyAlignment="1">
      <alignment vertical="top"/>
    </xf>
    <xf numFmtId="0" fontId="12" fillId="77" borderId="0" xfId="0" applyFont="1" applyFill="1" applyBorder="1" applyAlignment="1">
      <alignment vertical="top"/>
    </xf>
    <xf numFmtId="0" fontId="12" fillId="77" borderId="0" xfId="0" applyFont="1" applyFill="1" applyAlignment="1">
      <alignment vertical="top"/>
    </xf>
    <xf numFmtId="0" fontId="12" fillId="77" borderId="9" xfId="0" applyFont="1" applyFill="1" applyBorder="1" applyAlignment="1">
      <alignment horizontal="left" vertical="top" wrapText="1"/>
    </xf>
    <xf numFmtId="0" fontId="215" fillId="77" borderId="9" xfId="0" applyFont="1" applyFill="1" applyBorder="1" applyAlignment="1">
      <alignment horizontal="center" vertical="center" textRotation="180"/>
    </xf>
    <xf numFmtId="0" fontId="39" fillId="77" borderId="0" xfId="0" applyFont="1" applyFill="1" applyProtection="1">
      <protection locked="0"/>
    </xf>
    <xf numFmtId="0" fontId="39" fillId="77" borderId="0" xfId="0" applyFont="1" applyFill="1" applyAlignment="1" applyProtection="1">
      <alignment wrapText="1"/>
      <protection locked="0"/>
    </xf>
    <xf numFmtId="0" fontId="39" fillId="77" borderId="0" xfId="0" applyFont="1" applyFill="1" applyAlignment="1" applyProtection="1">
      <alignment horizontal="center" vertical="center"/>
      <protection locked="0"/>
    </xf>
    <xf numFmtId="0" fontId="39" fillId="77" borderId="0" xfId="0" applyFont="1" applyFill="1" applyBorder="1" applyAlignment="1" applyProtection="1">
      <alignment horizontal="center" vertical="center"/>
      <protection locked="0"/>
    </xf>
    <xf numFmtId="178" fontId="210" fillId="28" borderId="54" xfId="59" applyNumberFormat="1" applyFont="1" applyFill="1" applyBorder="1" applyAlignment="1" applyProtection="1">
      <alignment horizontal="left" vertical="center"/>
      <protection locked="0"/>
    </xf>
    <xf numFmtId="0" fontId="6" fillId="77" borderId="0" xfId="0" applyFont="1" applyFill="1" applyAlignment="1" applyProtection="1">
      <alignment horizontal="left"/>
      <protection locked="0"/>
    </xf>
    <xf numFmtId="0" fontId="44" fillId="77" borderId="0" xfId="0" applyFont="1" applyFill="1" applyAlignment="1" applyProtection="1">
      <alignment horizontal="center"/>
      <protection locked="0"/>
    </xf>
    <xf numFmtId="0" fontId="44" fillId="77" borderId="0" xfId="0" applyFont="1" applyFill="1" applyBorder="1" applyAlignment="1" applyProtection="1">
      <alignment horizontal="center"/>
      <protection locked="0"/>
    </xf>
    <xf numFmtId="178" fontId="210" fillId="77" borderId="54" xfId="59" applyNumberFormat="1" applyFont="1" applyFill="1" applyBorder="1" applyAlignment="1" applyProtection="1">
      <alignment horizontal="left" vertical="center"/>
      <protection locked="0"/>
    </xf>
    <xf numFmtId="178" fontId="49" fillId="77" borderId="54" xfId="59" applyNumberFormat="1" applyFont="1" applyFill="1" applyBorder="1" applyAlignment="1" applyProtection="1">
      <alignment horizontal="left" vertical="center"/>
      <protection locked="0"/>
    </xf>
    <xf numFmtId="0" fontId="6" fillId="77" borderId="0" xfId="0" applyFont="1" applyFill="1" applyProtection="1">
      <protection locked="0"/>
    </xf>
    <xf numFmtId="0" fontId="51" fillId="77" borderId="0" xfId="0" applyFont="1" applyFill="1" applyAlignment="1" applyProtection="1">
      <alignment horizontal="center"/>
      <protection locked="0"/>
    </xf>
    <xf numFmtId="0" fontId="46" fillId="77" borderId="0" xfId="0" applyFont="1" applyFill="1" applyProtection="1">
      <protection locked="0"/>
    </xf>
    <xf numFmtId="0" fontId="48" fillId="77" borderId="0" xfId="0" applyFont="1" applyFill="1" applyAlignment="1" applyProtection="1">
      <alignment horizontal="center"/>
      <protection locked="0"/>
    </xf>
    <xf numFmtId="0" fontId="48" fillId="77" borderId="0" xfId="0" applyFont="1" applyFill="1" applyAlignment="1" applyProtection="1">
      <alignment horizontal="center" vertical="center"/>
      <protection locked="0"/>
    </xf>
    <xf numFmtId="0" fontId="44" fillId="77" borderId="0" xfId="0" applyFont="1" applyFill="1" applyAlignment="1" applyProtection="1">
      <alignment horizontal="center" vertical="center"/>
      <protection locked="0"/>
    </xf>
    <xf numFmtId="0" fontId="44" fillId="77" borderId="0" xfId="0" applyFont="1" applyFill="1" applyBorder="1" applyAlignment="1" applyProtection="1">
      <alignment horizontal="center" vertical="center"/>
      <protection locked="0"/>
    </xf>
    <xf numFmtId="0" fontId="46" fillId="77" borderId="0" xfId="0" applyFont="1" applyFill="1" applyAlignment="1" applyProtection="1">
      <alignment horizontal="center" vertical="center"/>
      <protection locked="0"/>
    </xf>
    <xf numFmtId="0" fontId="39" fillId="77" borderId="0" xfId="0" applyFont="1" applyFill="1" applyAlignment="1" applyProtection="1">
      <alignment vertical="center"/>
      <protection locked="0"/>
    </xf>
    <xf numFmtId="0" fontId="89" fillId="77" borderId="0" xfId="0" applyFont="1" applyFill="1" applyBorder="1" applyAlignment="1" applyProtection="1">
      <alignment vertical="center"/>
      <protection locked="0"/>
    </xf>
    <xf numFmtId="0" fontId="42" fillId="77" borderId="0" xfId="0" applyFont="1" applyFill="1" applyBorder="1" applyAlignment="1" applyProtection="1">
      <alignment horizontal="left" vertical="top"/>
      <protection locked="0"/>
    </xf>
    <xf numFmtId="0" fontId="89" fillId="77" borderId="0" xfId="0" applyFont="1" applyFill="1" applyBorder="1" applyAlignment="1" applyProtection="1">
      <alignment horizontal="left" vertical="center" wrapText="1"/>
      <protection locked="0"/>
    </xf>
    <xf numFmtId="0" fontId="43" fillId="77" borderId="0" xfId="0" applyFont="1" applyFill="1" applyProtection="1">
      <protection locked="0"/>
    </xf>
    <xf numFmtId="0" fontId="89" fillId="77" borderId="0" xfId="0" applyFont="1" applyFill="1" applyBorder="1" applyAlignment="1" applyProtection="1">
      <alignment horizontal="left" vertical="top" wrapText="1"/>
      <protection locked="0"/>
    </xf>
    <xf numFmtId="0" fontId="40" fillId="77" borderId="0" xfId="0" applyFont="1" applyFill="1" applyBorder="1" applyAlignment="1" applyProtection="1">
      <alignment horizontal="left"/>
      <protection locked="0"/>
    </xf>
    <xf numFmtId="0" fontId="89" fillId="77" borderId="0" xfId="0" applyFont="1" applyFill="1" applyBorder="1" applyAlignment="1" applyProtection="1">
      <alignment vertical="top"/>
      <protection locked="0"/>
    </xf>
    <xf numFmtId="3" fontId="56" fillId="77" borderId="0" xfId="0" applyNumberFormat="1" applyFont="1" applyFill="1" applyBorder="1" applyAlignment="1" applyProtection="1">
      <alignment horizontal="left" vertical="center"/>
      <protection locked="0"/>
    </xf>
    <xf numFmtId="0" fontId="42" fillId="77" borderId="0" xfId="0" applyFont="1" applyFill="1" applyAlignment="1" applyProtection="1">
      <alignment/>
      <protection locked="0"/>
    </xf>
    <xf numFmtId="0" fontId="48" fillId="77" borderId="0" xfId="0" applyFont="1" applyFill="1" applyAlignment="1" applyProtection="1">
      <alignment/>
      <protection locked="0"/>
    </xf>
    <xf numFmtId="0" fontId="48" fillId="77" borderId="0" xfId="0" applyFont="1" applyFill="1" applyBorder="1" applyAlignment="1" applyProtection="1">
      <alignment horizontal="center" vertical="center"/>
      <protection locked="0"/>
    </xf>
    <xf numFmtId="0" fontId="1" fillId="77" borderId="0" xfId="0" applyFont="1" applyFill="1" applyProtection="1">
      <protection locked="0"/>
    </xf>
    <xf numFmtId="0" fontId="50" fillId="78" borderId="70" xfId="0" applyNumberFormat="1" applyFont="1" applyFill="1" applyBorder="1" applyAlignment="1" applyProtection="1">
      <alignment horizontal="center" vertical="center" wrapText="1"/>
      <protection locked="0"/>
    </xf>
    <xf numFmtId="0" fontId="50" fillId="78" borderId="71" xfId="0" applyNumberFormat="1" applyFont="1" applyFill="1" applyBorder="1" applyAlignment="1" applyProtection="1">
      <alignment horizontal="center" vertical="center" wrapText="1"/>
      <protection locked="0"/>
    </xf>
    <xf numFmtId="0" fontId="50" fillId="78" borderId="72" xfId="0" applyNumberFormat="1" applyFont="1" applyFill="1" applyBorder="1" applyAlignment="1" applyProtection="1">
      <alignment horizontal="center" vertical="center" wrapText="1"/>
      <protection locked="0"/>
    </xf>
    <xf numFmtId="0" fontId="50" fillId="78" borderId="73" xfId="0" applyNumberFormat="1" applyFont="1" applyFill="1" applyBorder="1" applyAlignment="1" applyProtection="1">
      <alignment horizontal="center" vertical="center" wrapText="1"/>
      <protection locked="0"/>
    </xf>
    <xf numFmtId="3" fontId="225" fillId="77" borderId="15" xfId="0" applyNumberFormat="1" applyFont="1" applyFill="1" applyBorder="1" applyAlignment="1" applyProtection="1">
      <alignment vertical="center"/>
      <protection locked="0"/>
    </xf>
    <xf numFmtId="3" fontId="47" fillId="77" borderId="0" xfId="0" applyNumberFormat="1" applyFont="1" applyFill="1" applyBorder="1" applyAlignment="1" applyProtection="1">
      <alignment vertical="center"/>
      <protection locked="0"/>
    </xf>
    <xf numFmtId="3" fontId="47" fillId="77" borderId="0" xfId="0" applyNumberFormat="1" applyFont="1" applyFill="1" applyBorder="1" applyAlignment="1" applyProtection="1">
      <alignment horizontal="center" vertical="center"/>
      <protection locked="0"/>
    </xf>
    <xf numFmtId="3" fontId="43" fillId="77" borderId="0" xfId="0" applyNumberFormat="1" applyFont="1" applyFill="1" applyBorder="1" applyAlignment="1" applyProtection="1">
      <alignment horizontal="center" vertical="center"/>
      <protection locked="0"/>
    </xf>
    <xf numFmtId="3" fontId="47" fillId="77" borderId="19" xfId="0" applyNumberFormat="1" applyFont="1" applyFill="1" applyBorder="1" applyAlignment="1" applyProtection="1">
      <alignment horizontal="center" vertical="center"/>
      <protection locked="0"/>
    </xf>
    <xf numFmtId="0" fontId="47" fillId="77" borderId="0" xfId="0" applyFont="1" applyFill="1" applyBorder="1" applyProtection="1">
      <protection locked="0"/>
    </xf>
    <xf numFmtId="3" fontId="89" fillId="77" borderId="15" xfId="0" applyNumberFormat="1" applyFont="1" applyFill="1" applyBorder="1" applyAlignment="1" applyProtection="1">
      <alignment vertical="center"/>
      <protection locked="0"/>
    </xf>
    <xf numFmtId="3" fontId="43" fillId="28" borderId="50" xfId="0" applyNumberFormat="1" applyFont="1" applyFill="1" applyBorder="1" applyAlignment="1" applyProtection="1">
      <alignment horizontal="center" vertical="center"/>
      <protection locked="0"/>
    </xf>
    <xf numFmtId="9" fontId="39" fillId="28" borderId="19" xfId="15" applyFont="1" applyFill="1" applyBorder="1" applyAlignment="1" applyProtection="1">
      <alignment horizontal="center" vertical="center"/>
      <protection locked="0"/>
    </xf>
    <xf numFmtId="0" fontId="1" fillId="77" borderId="19" xfId="0" applyFont="1" applyFill="1" applyBorder="1" applyAlignment="1" applyProtection="1">
      <alignment horizontal="center" vertical="center"/>
      <protection locked="0"/>
    </xf>
    <xf numFmtId="3" fontId="45" fillId="77" borderId="15" xfId="0" applyNumberFormat="1" applyFont="1" applyFill="1" applyBorder="1" applyAlignment="1" applyProtection="1">
      <alignment vertical="center"/>
      <protection locked="0"/>
    </xf>
    <xf numFmtId="3" fontId="7" fillId="77" borderId="0" xfId="0" applyNumberFormat="1" applyFont="1" applyFill="1" applyBorder="1" applyAlignment="1" applyProtection="1">
      <alignment vertical="center" wrapText="1"/>
      <protection locked="0"/>
    </xf>
    <xf numFmtId="3" fontId="7" fillId="77" borderId="0" xfId="0" applyNumberFormat="1" applyFont="1" applyFill="1" applyBorder="1" applyAlignment="1" applyProtection="1">
      <alignment horizontal="center" vertical="center"/>
      <protection locked="0"/>
    </xf>
    <xf numFmtId="9" fontId="39" fillId="77" borderId="0" xfId="0" applyNumberFormat="1" applyFont="1" applyFill="1" applyBorder="1" applyAlignment="1" applyProtection="1">
      <alignment horizontal="center" vertical="center"/>
      <protection locked="0"/>
    </xf>
    <xf numFmtId="9" fontId="40" fillId="77" borderId="19" xfId="0" applyNumberFormat="1" applyFont="1" applyFill="1" applyBorder="1" applyAlignment="1" applyProtection="1">
      <alignment horizontal="center" vertical="center"/>
      <protection locked="0"/>
    </xf>
    <xf numFmtId="0" fontId="41" fillId="77" borderId="0" xfId="0" applyFont="1" applyFill="1" applyProtection="1">
      <protection locked="0"/>
    </xf>
    <xf numFmtId="3" fontId="43" fillId="77" borderId="0" xfId="0" applyNumberFormat="1" applyFont="1" applyFill="1" applyBorder="1" applyAlignment="1" applyProtection="1">
      <alignment vertical="center"/>
      <protection locked="0"/>
    </xf>
    <xf numFmtId="3" fontId="43" fillId="77" borderId="0" xfId="0" applyNumberFormat="1" applyFont="1" applyFill="1" applyBorder="1" applyAlignment="1" applyProtection="1">
      <alignment vertical="center" wrapText="1"/>
      <protection locked="0"/>
    </xf>
    <xf numFmtId="9" fontId="39" fillId="77" borderId="19" xfId="0" applyNumberFormat="1" applyFont="1" applyFill="1" applyBorder="1" applyAlignment="1" applyProtection="1">
      <alignment horizontal="center" vertical="center"/>
      <protection locked="0"/>
    </xf>
    <xf numFmtId="3" fontId="219" fillId="77" borderId="15" xfId="0" applyNumberFormat="1" applyFont="1" applyFill="1" applyBorder="1" applyAlignment="1" applyProtection="1">
      <alignment vertical="center"/>
      <protection locked="0"/>
    </xf>
    <xf numFmtId="3" fontId="206" fillId="77" borderId="0" xfId="0" applyNumberFormat="1" applyFont="1" applyFill="1" applyBorder="1" applyAlignment="1" applyProtection="1">
      <alignment vertical="center" wrapText="1"/>
      <protection locked="0"/>
    </xf>
    <xf numFmtId="0" fontId="1" fillId="77" borderId="0" xfId="0" applyFont="1" applyFill="1" applyBorder="1" applyProtection="1">
      <protection locked="0"/>
    </xf>
    <xf numFmtId="0" fontId="89" fillId="77" borderId="15" xfId="0" applyNumberFormat="1" applyFont="1" applyFill="1" applyBorder="1" applyAlignment="1" applyProtection="1">
      <alignment vertical="top"/>
      <protection locked="0"/>
    </xf>
    <xf numFmtId="9" fontId="1" fillId="77" borderId="19" xfId="15" applyFont="1" applyFill="1" applyBorder="1" applyAlignment="1" applyProtection="1">
      <alignment horizontal="center" vertical="center"/>
      <protection locked="0"/>
    </xf>
    <xf numFmtId="0" fontId="43" fillId="77" borderId="0" xfId="0" applyNumberFormat="1" applyFont="1" applyFill="1" applyBorder="1" applyAlignment="1" applyProtection="1">
      <alignment vertical="top" wrapText="1"/>
      <protection locked="0"/>
    </xf>
    <xf numFmtId="9" fontId="39" fillId="77" borderId="19" xfId="15" applyFont="1" applyFill="1" applyBorder="1" applyAlignment="1" applyProtection="1">
      <alignment horizontal="center" vertical="center"/>
      <protection locked="0"/>
    </xf>
    <xf numFmtId="0" fontId="89" fillId="77" borderId="15" xfId="0" applyNumberFormat="1" applyFont="1" applyFill="1" applyBorder="1" applyAlignment="1" applyProtection="1">
      <alignment vertical="top" wrapText="1"/>
      <protection locked="0"/>
    </xf>
    <xf numFmtId="3" fontId="89" fillId="77" borderId="15" xfId="0" applyNumberFormat="1" applyFont="1" applyFill="1" applyBorder="1" applyAlignment="1" applyProtection="1">
      <alignment vertical="center" wrapText="1"/>
      <protection locked="0"/>
    </xf>
    <xf numFmtId="3" fontId="43" fillId="77" borderId="0" xfId="0" applyNumberFormat="1" applyFont="1" applyFill="1" applyBorder="1" applyAlignment="1" applyProtection="1">
      <alignment horizontal="left" vertical="center"/>
      <protection locked="0"/>
    </xf>
    <xf numFmtId="3" fontId="43" fillId="77" borderId="19" xfId="0" applyNumberFormat="1" applyFont="1" applyFill="1" applyBorder="1" applyAlignment="1" applyProtection="1">
      <alignment horizontal="center" vertical="center" wrapText="1"/>
      <protection locked="0"/>
    </xf>
    <xf numFmtId="3" fontId="225" fillId="77" borderId="15" xfId="0" applyNumberFormat="1" applyFont="1" applyFill="1" applyBorder="1" applyAlignment="1" applyProtection="1">
      <alignment vertical="center" wrapText="1"/>
      <protection locked="0"/>
    </xf>
    <xf numFmtId="3" fontId="47" fillId="77" borderId="0" xfId="0" applyNumberFormat="1" applyFont="1" applyFill="1" applyBorder="1" applyAlignment="1" applyProtection="1">
      <alignment vertical="center" wrapText="1"/>
      <protection locked="0"/>
    </xf>
    <xf numFmtId="3" fontId="89" fillId="77" borderId="15" xfId="0" applyNumberFormat="1" applyFont="1" applyFill="1" applyBorder="1" applyAlignment="1" applyProtection="1">
      <alignment horizontal="left" vertical="center" wrapText="1"/>
      <protection locked="0"/>
    </xf>
    <xf numFmtId="3" fontId="89" fillId="77" borderId="15" xfId="0" applyNumberFormat="1" applyFont="1" applyFill="1" applyBorder="1" applyAlignment="1" applyProtection="1">
      <alignment horizontal="center" vertical="center"/>
      <protection locked="0"/>
    </xf>
    <xf numFmtId="3" fontId="45" fillId="77" borderId="15" xfId="0" applyNumberFormat="1" applyFont="1" applyFill="1" applyBorder="1" applyAlignment="1" applyProtection="1">
      <alignment horizontal="center" vertical="center"/>
      <protection locked="0"/>
    </xf>
    <xf numFmtId="3" fontId="89" fillId="77" borderId="15" xfId="0" applyNumberFormat="1" applyFont="1" applyFill="1" applyBorder="1" applyAlignment="1" applyProtection="1">
      <alignment horizontal="left" vertical="center"/>
      <protection locked="0"/>
    </xf>
    <xf numFmtId="3" fontId="43" fillId="77" borderId="16" xfId="0" applyNumberFormat="1" applyFont="1" applyFill="1" applyBorder="1" applyAlignment="1" applyProtection="1">
      <alignment vertical="center" wrapText="1"/>
      <protection locked="0"/>
    </xf>
    <xf numFmtId="3" fontId="43" fillId="77" borderId="16" xfId="0" applyNumberFormat="1" applyFont="1" applyFill="1" applyBorder="1" applyAlignment="1" applyProtection="1">
      <alignment horizontal="center" vertical="center"/>
      <protection locked="0"/>
    </xf>
    <xf numFmtId="3" fontId="42" fillId="77" borderId="74" xfId="0" applyNumberFormat="1" applyFont="1" applyFill="1" applyBorder="1" applyAlignment="1" applyProtection="1">
      <alignment horizontal="left" vertical="center"/>
      <protection locked="0"/>
    </xf>
    <xf numFmtId="3" fontId="40" fillId="77" borderId="50" xfId="0" applyNumberFormat="1" applyFont="1" applyFill="1" applyBorder="1" applyAlignment="1" applyProtection="1">
      <alignment horizontal="center" vertical="center"/>
      <protection locked="0"/>
    </xf>
    <xf numFmtId="3" fontId="40" fillId="77" borderId="75" xfId="0" applyNumberFormat="1" applyFont="1" applyFill="1" applyBorder="1" applyAlignment="1" applyProtection="1">
      <alignment horizontal="center" vertical="center"/>
      <protection locked="0"/>
    </xf>
    <xf numFmtId="3" fontId="40" fillId="77" borderId="76" xfId="0" applyNumberFormat="1" applyFont="1" applyFill="1" applyBorder="1" applyAlignment="1" applyProtection="1">
      <alignment horizontal="center" vertical="center"/>
      <protection locked="0"/>
    </xf>
    <xf numFmtId="3" fontId="42" fillId="77" borderId="77" xfId="0" applyNumberFormat="1" applyFont="1" applyFill="1" applyBorder="1" applyAlignment="1" applyProtection="1">
      <alignment horizontal="left" vertical="center"/>
      <protection locked="0"/>
    </xf>
    <xf numFmtId="3" fontId="40" fillId="77" borderId="52" xfId="0" applyNumberFormat="1" applyFont="1" applyFill="1" applyBorder="1" applyAlignment="1" applyProtection="1">
      <alignment horizontal="center" vertical="center"/>
      <protection locked="0"/>
    </xf>
    <xf numFmtId="3" fontId="7" fillId="77" borderId="0" xfId="0" applyNumberFormat="1" applyFont="1" applyFill="1" applyBorder="1" applyAlignment="1" applyProtection="1">
      <alignment horizontal="left" vertical="center"/>
      <protection locked="0"/>
    </xf>
    <xf numFmtId="3" fontId="205" fillId="77" borderId="0" xfId="0" applyNumberFormat="1" applyFont="1" applyFill="1" applyBorder="1" applyAlignment="1" applyProtection="1">
      <alignment horizontal="left" vertical="center"/>
      <protection locked="0"/>
    </xf>
    <xf numFmtId="3" fontId="40" fillId="77" borderId="0" xfId="0" applyNumberFormat="1" applyFont="1" applyFill="1" applyBorder="1" applyAlignment="1" applyProtection="1">
      <alignment horizontal="center" vertical="center"/>
      <protection locked="0"/>
    </xf>
    <xf numFmtId="0" fontId="41" fillId="77" borderId="0" xfId="0" applyFont="1" applyFill="1" applyBorder="1" applyProtection="1">
      <protection locked="0"/>
    </xf>
    <xf numFmtId="3" fontId="7" fillId="77" borderId="19" xfId="0" applyNumberFormat="1" applyFont="1" applyFill="1" applyBorder="1" applyAlignment="1" applyProtection="1">
      <alignment horizontal="center" vertical="center"/>
      <protection locked="0"/>
    </xf>
    <xf numFmtId="0" fontId="57" fillId="77" borderId="0" xfId="0" applyFont="1" applyFill="1" applyBorder="1" applyAlignment="1" applyProtection="1">
      <alignment horizontal="center"/>
      <protection locked="0"/>
    </xf>
    <xf numFmtId="0" fontId="33" fillId="77" borderId="0" xfId="0" applyFont="1" applyFill="1" applyBorder="1" applyAlignment="1" applyProtection="1">
      <alignment horizontal="center"/>
      <protection locked="0"/>
    </xf>
    <xf numFmtId="3" fontId="56" fillId="77" borderId="0" xfId="0" applyNumberFormat="1" applyFont="1" applyFill="1" applyBorder="1" applyAlignment="1" applyProtection="1">
      <alignment horizontal="center" vertical="center"/>
      <protection locked="0"/>
    </xf>
    <xf numFmtId="286" fontId="43" fillId="77" borderId="0" xfId="0" applyNumberFormat="1" applyFont="1" applyFill="1" applyBorder="1" applyAlignment="1" applyProtection="1">
      <alignment horizontal="center" vertical="center"/>
      <protection locked="0"/>
    </xf>
    <xf numFmtId="175" fontId="43" fillId="77" borderId="19" xfId="0" applyNumberFormat="1" applyFont="1" applyFill="1" applyBorder="1" applyAlignment="1" applyProtection="1">
      <alignment horizontal="center" vertical="center"/>
      <protection locked="0"/>
    </xf>
    <xf numFmtId="0" fontId="33" fillId="77" borderId="0" xfId="0" applyFont="1" applyFill="1" applyAlignment="1" applyProtection="1">
      <alignment horizontal="center"/>
      <protection locked="0"/>
    </xf>
    <xf numFmtId="0" fontId="57" fillId="77" borderId="0" xfId="0" applyFont="1" applyFill="1" applyAlignment="1" applyProtection="1">
      <alignment horizontal="center"/>
      <protection locked="0"/>
    </xf>
    <xf numFmtId="3" fontId="7" fillId="77" borderId="0" xfId="0" applyNumberFormat="1" applyFont="1" applyFill="1" applyBorder="1" applyAlignment="1" applyProtection="1">
      <alignment vertical="center"/>
      <protection locked="0"/>
    </xf>
    <xf numFmtId="173" fontId="7" fillId="77" borderId="0" xfId="18" applyNumberFormat="1" applyFont="1" applyFill="1" applyBorder="1" applyAlignment="1" applyProtection="1">
      <alignment horizontal="center" vertical="center"/>
      <protection locked="0"/>
    </xf>
    <xf numFmtId="173" fontId="7" fillId="77" borderId="0" xfId="0" applyNumberFormat="1" applyFont="1" applyFill="1" applyBorder="1" applyAlignment="1" applyProtection="1">
      <alignment horizontal="center" vertical="center"/>
      <protection locked="0"/>
    </xf>
    <xf numFmtId="169" fontId="7" fillId="77" borderId="19" xfId="16" applyFont="1" applyFill="1" applyBorder="1" applyAlignment="1" applyProtection="1">
      <alignment horizontal="center" vertical="center"/>
      <protection locked="0"/>
    </xf>
    <xf numFmtId="3" fontId="45" fillId="77" borderId="15" xfId="0" applyNumberFormat="1" applyFont="1" applyFill="1" applyBorder="1" applyAlignment="1" applyProtection="1">
      <alignment horizontal="left" vertical="center"/>
      <protection locked="0"/>
    </xf>
    <xf numFmtId="0" fontId="57" fillId="77" borderId="0" xfId="0" applyFont="1" applyFill="1" applyBorder="1" applyProtection="1">
      <protection locked="0"/>
    </xf>
    <xf numFmtId="287" fontId="7" fillId="77" borderId="0" xfId="16" applyNumberFormat="1" applyFont="1" applyFill="1" applyBorder="1" applyAlignment="1" applyProtection="1">
      <alignment horizontal="center" vertical="center"/>
      <protection locked="0"/>
    </xf>
    <xf numFmtId="172" fontId="7" fillId="77" borderId="0" xfId="0" applyNumberFormat="1" applyFont="1" applyFill="1" applyBorder="1" applyAlignment="1" applyProtection="1">
      <alignment horizontal="center" vertical="center"/>
      <protection locked="0"/>
    </xf>
    <xf numFmtId="175" fontId="7" fillId="77" borderId="19" xfId="0" applyNumberFormat="1" applyFont="1" applyFill="1" applyBorder="1" applyAlignment="1" applyProtection="1">
      <alignment horizontal="center" vertical="center"/>
      <protection locked="0"/>
    </xf>
    <xf numFmtId="0" fontId="57" fillId="77" borderId="0" xfId="0" applyFont="1" applyFill="1" applyProtection="1">
      <protection locked="0"/>
    </xf>
    <xf numFmtId="0" fontId="89" fillId="77" borderId="15" xfId="0" applyNumberFormat="1" applyFont="1" applyFill="1" applyBorder="1" applyAlignment="1" applyProtection="1">
      <alignment horizontal="left" vertical="center"/>
      <protection locked="0"/>
    </xf>
    <xf numFmtId="0" fontId="43" fillId="77" borderId="0" xfId="0" applyNumberFormat="1" applyFont="1" applyFill="1" applyBorder="1" applyAlignment="1" applyProtection="1">
      <alignment horizontal="left" vertical="center"/>
      <protection locked="0"/>
    </xf>
    <xf numFmtId="3" fontId="39" fillId="77" borderId="0" xfId="0" applyNumberFormat="1" applyFont="1" applyFill="1" applyBorder="1" applyAlignment="1" applyProtection="1">
      <alignment horizontal="center" vertical="center"/>
      <protection locked="0"/>
    </xf>
    <xf numFmtId="0" fontId="89" fillId="77" borderId="53" xfId="0" applyNumberFormat="1" applyFont="1" applyFill="1" applyBorder="1" applyAlignment="1" applyProtection="1">
      <alignment horizontal="left" vertical="center"/>
      <protection locked="0"/>
    </xf>
    <xf numFmtId="0" fontId="43" fillId="77" borderId="16" xfId="0" applyNumberFormat="1" applyFont="1" applyFill="1" applyBorder="1" applyAlignment="1" applyProtection="1">
      <alignment horizontal="left" vertical="center"/>
      <protection locked="0"/>
    </xf>
    <xf numFmtId="39" fontId="40" fillId="77" borderId="16" xfId="0" applyNumberFormat="1" applyFont="1" applyFill="1" applyBorder="1" applyAlignment="1" applyProtection="1">
      <alignment horizontal="center"/>
      <protection locked="0"/>
    </xf>
    <xf numFmtId="39" fontId="39" fillId="77" borderId="16" xfId="0" applyNumberFormat="1" applyFont="1" applyFill="1" applyBorder="1" applyAlignment="1" applyProtection="1">
      <alignment horizontal="center"/>
      <protection locked="0"/>
    </xf>
    <xf numFmtId="39" fontId="56" fillId="77" borderId="16" xfId="0" applyNumberFormat="1" applyFont="1" applyFill="1" applyBorder="1" applyAlignment="1" applyProtection="1">
      <alignment horizontal="left"/>
      <protection locked="0"/>
    </xf>
    <xf numFmtId="39" fontId="56" fillId="77" borderId="16" xfId="0" applyNumberFormat="1" applyFont="1" applyFill="1" applyBorder="1" applyAlignment="1" applyProtection="1">
      <alignment horizontal="center"/>
      <protection locked="0"/>
    </xf>
    <xf numFmtId="3" fontId="43" fillId="77" borderId="16" xfId="0" applyNumberFormat="1" applyFont="1" applyFill="1" applyBorder="1" applyAlignment="1" applyProtection="1">
      <alignment vertical="center"/>
      <protection locked="0"/>
    </xf>
    <xf numFmtId="0" fontId="39" fillId="77" borderId="16" xfId="0" applyFont="1" applyFill="1" applyBorder="1" applyProtection="1">
      <protection locked="0"/>
    </xf>
    <xf numFmtId="0" fontId="39" fillId="77" borderId="78" xfId="0" applyFont="1" applyFill="1" applyBorder="1" applyAlignment="1" applyProtection="1">
      <alignment horizontal="center" vertical="center"/>
      <protection locked="0"/>
    </xf>
    <xf numFmtId="0" fontId="54" fillId="77"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alignment/>
      <protection locked="0"/>
    </xf>
    <xf numFmtId="39" fontId="7"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77" borderId="19" xfId="0" applyNumberFormat="1" applyFont="1" applyFill="1" applyBorder="1" applyAlignment="1" applyProtection="1">
      <alignment horizontal="center" vertical="center"/>
      <protection locked="0"/>
    </xf>
    <xf numFmtId="3" fontId="205" fillId="77" borderId="0" xfId="0" applyNumberFormat="1" applyFont="1" applyFill="1" applyBorder="1" applyAlignment="1" applyProtection="1">
      <alignment horizontal="center" vertical="center"/>
      <protection locked="0"/>
    </xf>
    <xf numFmtId="169" fontId="43" fillId="77" borderId="19" xfId="16" applyFont="1" applyFill="1" applyBorder="1" applyAlignment="1" applyProtection="1">
      <alignment horizontal="center" vertical="center"/>
      <protection locked="0"/>
    </xf>
    <xf numFmtId="173" fontId="43" fillId="77" borderId="0" xfId="18" applyNumberFormat="1" applyFont="1" applyFill="1" applyBorder="1" applyAlignment="1" applyProtection="1">
      <alignment horizontal="center" vertical="center"/>
      <protection locked="0"/>
    </xf>
    <xf numFmtId="173" fontId="43" fillId="77" borderId="0" xfId="0" applyNumberFormat="1" applyFont="1" applyFill="1" applyBorder="1" applyAlignment="1" applyProtection="1">
      <alignment horizontal="center" vertical="center"/>
      <protection locked="0"/>
    </xf>
    <xf numFmtId="0" fontId="40" fillId="77" borderId="0" xfId="0" applyFont="1" applyFill="1" applyProtection="1">
      <protection locked="0"/>
    </xf>
    <xf numFmtId="3" fontId="89" fillId="77" borderId="53" xfId="0" applyNumberFormat="1" applyFont="1" applyFill="1" applyBorder="1" applyAlignment="1" applyProtection="1">
      <alignment horizontal="left" vertical="center"/>
      <protection locked="0"/>
    </xf>
    <xf numFmtId="3" fontId="40" fillId="77" borderId="16" xfId="0" applyNumberFormat="1" applyFont="1" applyFill="1" applyBorder="1" applyAlignment="1" applyProtection="1">
      <alignment horizontal="center" vertical="center"/>
      <protection locked="0"/>
    </xf>
    <xf numFmtId="3" fontId="39" fillId="77" borderId="16" xfId="0" applyNumberFormat="1" applyFont="1" applyFill="1" applyBorder="1" applyAlignment="1" applyProtection="1">
      <alignment horizontal="center" vertical="center"/>
      <protection locked="0"/>
    </xf>
    <xf numFmtId="3" fontId="56" fillId="77" borderId="16" xfId="0" applyNumberFormat="1" applyFont="1" applyFill="1" applyBorder="1" applyAlignment="1" applyProtection="1">
      <alignment horizontal="left" vertical="center"/>
      <protection locked="0"/>
    </xf>
    <xf numFmtId="0" fontId="1" fillId="77" borderId="16" xfId="0" applyFont="1" applyFill="1" applyBorder="1" applyProtection="1">
      <protection locked="0"/>
    </xf>
    <xf numFmtId="3" fontId="7" fillId="77" borderId="78" xfId="0" applyNumberFormat="1" applyFont="1" applyFill="1" applyBorder="1" applyAlignment="1" applyProtection="1">
      <alignment horizontal="center" vertical="center"/>
      <protection locked="0"/>
    </xf>
    <xf numFmtId="0" fontId="56" fillId="28" borderId="0" xfId="0" applyFont="1" applyFill="1" applyAlignment="1" applyProtection="1">
      <alignment/>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77" borderId="0" xfId="0" applyFont="1" applyFill="1" applyBorder="1" applyProtection="1">
      <protection locked="0"/>
    </xf>
    <xf numFmtId="3" fontId="42" fillId="77" borderId="79" xfId="0" applyNumberFormat="1" applyFont="1" applyFill="1" applyBorder="1" applyAlignment="1" applyProtection="1">
      <alignment horizontal="left" vertical="center"/>
      <protection locked="0"/>
    </xf>
    <xf numFmtId="3" fontId="40" fillId="77" borderId="80" xfId="0" applyNumberFormat="1" applyFont="1" applyFill="1" applyBorder="1" applyAlignment="1" applyProtection="1">
      <alignment horizontal="center" vertical="center"/>
      <protection locked="0"/>
    </xf>
    <xf numFmtId="3" fontId="40" fillId="77" borderId="81" xfId="0" applyNumberFormat="1" applyFont="1" applyFill="1" applyBorder="1" applyAlignment="1" applyProtection="1">
      <alignment horizontal="center" vertical="center"/>
      <protection locked="0"/>
    </xf>
    <xf numFmtId="3" fontId="89" fillId="77" borderId="28" xfId="0" applyNumberFormat="1" applyFont="1" applyFill="1" applyBorder="1" applyAlignment="1" applyProtection="1">
      <alignment horizontal="left" vertical="center"/>
      <protection locked="0"/>
    </xf>
    <xf numFmtId="3" fontId="7" fillId="77" borderId="20" xfId="0" applyNumberFormat="1" applyFont="1" applyFill="1" applyBorder="1" applyAlignment="1" applyProtection="1">
      <alignment horizontal="left" vertical="center"/>
      <protection locked="0"/>
    </xf>
    <xf numFmtId="3" fontId="205" fillId="77" borderId="20" xfId="0" applyNumberFormat="1" applyFont="1" applyFill="1" applyBorder="1" applyAlignment="1" applyProtection="1">
      <alignment horizontal="left" vertical="center"/>
      <protection locked="0"/>
    </xf>
    <xf numFmtId="3" fontId="40" fillId="77" borderId="20" xfId="0" applyNumberFormat="1" applyFont="1" applyFill="1" applyBorder="1" applyAlignment="1" applyProtection="1">
      <alignment horizontal="center" vertical="center"/>
      <protection locked="0"/>
    </xf>
    <xf numFmtId="0" fontId="41" fillId="77" borderId="20" xfId="0" applyFont="1" applyFill="1" applyBorder="1" applyProtection="1">
      <protection locked="0"/>
    </xf>
    <xf numFmtId="3" fontId="7" fillId="77" borderId="20" xfId="0" applyNumberFormat="1" applyFont="1" applyFill="1" applyBorder="1" applyAlignment="1" applyProtection="1">
      <alignment horizontal="center" vertical="center"/>
      <protection locked="0"/>
    </xf>
    <xf numFmtId="3" fontId="7" fillId="77" borderId="60" xfId="0" applyNumberFormat="1" applyFont="1" applyFill="1" applyBorder="1" applyAlignment="1" applyProtection="1">
      <alignment horizontal="center" vertical="center"/>
      <protection locked="0"/>
    </xf>
    <xf numFmtId="173" fontId="43" fillId="77" borderId="19" xfId="0" applyNumberFormat="1" applyFont="1" applyFill="1" applyBorder="1" applyAlignment="1" applyProtection="1">
      <alignment horizontal="center" vertical="center"/>
      <protection locked="0"/>
    </xf>
    <xf numFmtId="0" fontId="43" fillId="77" borderId="16" xfId="0" applyNumberFormat="1" applyFont="1" applyFill="1" applyBorder="1" applyAlignment="1" applyProtection="1">
      <alignment horizontal="left" vertical="center"/>
      <protection locked="0"/>
    </xf>
    <xf numFmtId="3" fontId="40" fillId="77" borderId="16" xfId="0" applyNumberFormat="1" applyFont="1" applyFill="1" applyBorder="1" applyAlignment="1" applyProtection="1">
      <alignment horizontal="center" vertical="center"/>
      <protection locked="0"/>
    </xf>
    <xf numFmtId="0" fontId="1" fillId="77" borderId="16" xfId="0" applyFont="1" applyFill="1" applyBorder="1" applyProtection="1">
      <protection locked="0"/>
    </xf>
    <xf numFmtId="3" fontId="56" fillId="77" borderId="16" xfId="0" applyNumberFormat="1" applyFont="1" applyFill="1" applyBorder="1" applyAlignment="1" applyProtection="1">
      <alignment horizontal="left" vertical="center"/>
      <protection locked="0"/>
    </xf>
    <xf numFmtId="3" fontId="43" fillId="77" borderId="16" xfId="0" applyNumberFormat="1" applyFont="1" applyFill="1" applyBorder="1" applyAlignment="1" applyProtection="1">
      <alignment vertical="center"/>
      <protection locked="0"/>
    </xf>
    <xf numFmtId="173" fontId="7" fillId="77" borderId="19" xfId="16" applyNumberFormat="1" applyFont="1" applyFill="1" applyBorder="1" applyAlignment="1" applyProtection="1">
      <alignment horizontal="center" vertical="center"/>
      <protection locked="0"/>
    </xf>
    <xf numFmtId="175" fontId="7" fillId="77" borderId="19" xfId="16"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77" borderId="0" xfId="0" applyNumberFormat="1" applyFont="1" applyFill="1" applyBorder="1" applyAlignment="1" applyProtection="1">
      <alignment horizontal="center" vertical="center"/>
      <protection/>
    </xf>
    <xf numFmtId="10" fontId="39" fillId="77" borderId="0" xfId="0" applyNumberFormat="1" applyFont="1" applyFill="1" applyBorder="1" applyAlignment="1" applyProtection="1">
      <alignment horizontal="center" vertical="center"/>
      <protection locked="0"/>
    </xf>
    <xf numFmtId="10" fontId="40" fillId="77" borderId="0" xfId="0" applyNumberFormat="1" applyFont="1" applyFill="1" applyBorder="1" applyAlignment="1" applyProtection="1">
      <alignment horizontal="center" vertical="center"/>
      <protection locked="0"/>
    </xf>
    <xf numFmtId="10" fontId="47" fillId="77" borderId="0" xfId="0" applyNumberFormat="1" applyFont="1" applyFill="1" applyBorder="1" applyAlignment="1" applyProtection="1">
      <alignment horizontal="center" vertical="center"/>
      <protection locked="0"/>
    </xf>
    <xf numFmtId="10" fontId="39" fillId="28" borderId="0" xfId="15" applyNumberFormat="1" applyFont="1" applyFill="1" applyBorder="1" applyAlignment="1" applyProtection="1">
      <alignment horizontal="center" vertical="center"/>
      <protection locked="0"/>
    </xf>
    <xf numFmtId="10" fontId="39" fillId="77" borderId="0" xfId="15" applyNumberFormat="1" applyFont="1" applyFill="1" applyBorder="1" applyAlignment="1" applyProtection="1">
      <alignment horizontal="center" vertical="center"/>
      <protection locked="0"/>
    </xf>
    <xf numFmtId="10" fontId="1" fillId="77" borderId="0" xfId="15" applyNumberFormat="1" applyFont="1" applyFill="1" applyBorder="1" applyAlignment="1" applyProtection="1">
      <alignment horizontal="center" vertical="center"/>
      <protection locked="0"/>
    </xf>
    <xf numFmtId="10" fontId="208" fillId="77" borderId="0" xfId="0" applyNumberFormat="1" applyFont="1" applyFill="1" applyBorder="1" applyAlignment="1" applyProtection="1">
      <alignment horizontal="center" vertical="center" wrapText="1"/>
      <protection locked="0"/>
    </xf>
    <xf numFmtId="10" fontId="1" fillId="77" borderId="0" xfId="0" applyNumberFormat="1" applyFont="1" applyFill="1" applyBorder="1" applyAlignment="1" applyProtection="1">
      <alignment vertical="center"/>
      <protection locked="0"/>
    </xf>
    <xf numFmtId="10" fontId="43" fillId="77" borderId="0" xfId="0" applyNumberFormat="1" applyFont="1" applyFill="1" applyBorder="1" applyAlignment="1" applyProtection="1">
      <alignment horizontal="center" vertical="center"/>
      <protection locked="0"/>
    </xf>
    <xf numFmtId="10" fontId="1" fillId="77" borderId="0" xfId="0" applyNumberFormat="1" applyFont="1" applyFill="1" applyBorder="1" applyAlignment="1" applyProtection="1">
      <alignment horizontal="center" vertical="center"/>
      <protection locked="0"/>
    </xf>
    <xf numFmtId="10" fontId="209" fillId="77" borderId="0" xfId="0" applyNumberFormat="1" applyFont="1" applyFill="1" applyBorder="1" applyAlignment="1" applyProtection="1">
      <alignment horizontal="center" vertical="center"/>
      <protection locked="0"/>
    </xf>
    <xf numFmtId="10" fontId="208" fillId="77" borderId="0" xfId="0" applyNumberFormat="1" applyFont="1" applyFill="1" applyBorder="1" applyAlignment="1" applyProtection="1">
      <alignment horizontal="center" vertical="center"/>
      <protection locked="0"/>
    </xf>
    <xf numFmtId="10" fontId="1" fillId="28" borderId="0" xfId="0" applyNumberFormat="1" applyFont="1" applyFill="1" applyBorder="1" applyAlignment="1" applyProtection="1">
      <alignment horizontal="center" vertical="center"/>
      <protection locked="0"/>
    </xf>
    <xf numFmtId="0" fontId="0" fillId="77" borderId="0" xfId="0" applyFill="1" applyProtection="1">
      <protection locked="0"/>
    </xf>
    <xf numFmtId="0" fontId="89" fillId="77" borderId="0" xfId="0" applyFont="1" applyFill="1" applyBorder="1" applyAlignment="1" applyProtection="1">
      <alignment vertical="top" wrapText="1"/>
      <protection locked="0"/>
    </xf>
    <xf numFmtId="0" fontId="50" fillId="78" borderId="82" xfId="0" applyNumberFormat="1" applyFont="1" applyFill="1" applyBorder="1" applyAlignment="1" applyProtection="1">
      <alignment horizontal="center" vertical="center" wrapText="1"/>
      <protection locked="0"/>
    </xf>
    <xf numFmtId="3" fontId="89" fillId="77" borderId="0" xfId="0" applyNumberFormat="1" applyFont="1" applyFill="1" applyBorder="1" applyAlignment="1" applyProtection="1">
      <alignment horizontal="center" vertical="center"/>
      <protection locked="0"/>
    </xf>
    <xf numFmtId="3" fontId="89" fillId="77" borderId="0" xfId="0" applyNumberFormat="1" applyFont="1" applyFill="1" applyBorder="1" applyAlignment="1" applyProtection="1">
      <alignment vertical="center"/>
      <protection locked="0"/>
    </xf>
    <xf numFmtId="3" fontId="7" fillId="77" borderId="20" xfId="0" applyNumberFormat="1" applyFont="1" applyFill="1" applyBorder="1" applyAlignment="1" applyProtection="1">
      <alignment horizontal="left" vertical="center"/>
      <protection locked="0"/>
    </xf>
    <xf numFmtId="3" fontId="205" fillId="77" borderId="20" xfId="0" applyNumberFormat="1" applyFont="1" applyFill="1" applyBorder="1" applyAlignment="1" applyProtection="1">
      <alignment horizontal="left" vertical="center"/>
      <protection locked="0"/>
    </xf>
    <xf numFmtId="3" fontId="40" fillId="77" borderId="20" xfId="0" applyNumberFormat="1" applyFont="1" applyFill="1" applyBorder="1" applyAlignment="1" applyProtection="1">
      <alignment horizontal="center" vertical="center"/>
      <protection locked="0"/>
    </xf>
    <xf numFmtId="0" fontId="41" fillId="77" borderId="20" xfId="0" applyFont="1" applyFill="1" applyBorder="1" applyProtection="1">
      <protection locked="0"/>
    </xf>
    <xf numFmtId="3" fontId="7" fillId="77" borderId="20" xfId="0" applyNumberFormat="1" applyFont="1" applyFill="1" applyBorder="1" applyAlignment="1" applyProtection="1">
      <alignment horizontal="center" vertical="center"/>
      <protection locked="0"/>
    </xf>
    <xf numFmtId="3" fontId="89" fillId="77" borderId="53" xfId="0" applyNumberFormat="1" applyFont="1" applyFill="1" applyBorder="1" applyAlignment="1" applyProtection="1">
      <alignment vertical="center"/>
      <protection locked="0"/>
    </xf>
    <xf numFmtId="0" fontId="12" fillId="77" borderId="0" xfId="0" applyFont="1" applyFill="1" applyProtection="1">
      <protection locked="0"/>
    </xf>
    <xf numFmtId="0" fontId="46" fillId="81" borderId="15" xfId="0" applyFont="1" applyFill="1" applyBorder="1" applyAlignment="1" applyProtection="1">
      <alignment horizontal="left" vertical="center"/>
      <protection locked="0"/>
    </xf>
    <xf numFmtId="0" fontId="46" fillId="81" borderId="53" xfId="0" applyFont="1" applyFill="1" applyBorder="1" applyAlignment="1" applyProtection="1">
      <alignment horizontal="left" vertical="center"/>
      <protection locked="0"/>
    </xf>
    <xf numFmtId="173" fontId="43" fillId="77" borderId="19" xfId="18" applyNumberFormat="1" applyFont="1" applyFill="1" applyBorder="1" applyAlignment="1" applyProtection="1">
      <alignment horizontal="center" vertical="center"/>
      <protection locked="0"/>
    </xf>
    <xf numFmtId="3" fontId="40" fillId="77" borderId="56" xfId="0" applyNumberFormat="1" applyFont="1" applyFill="1" applyBorder="1" applyAlignment="1" applyProtection="1">
      <alignment horizontal="center" vertical="center"/>
      <protection locked="0"/>
    </xf>
    <xf numFmtId="169" fontId="0" fillId="77" borderId="0" xfId="16" applyFont="1" applyFill="1" applyProtection="1">
      <protection locked="0"/>
    </xf>
    <xf numFmtId="286" fontId="43" fillId="77" borderId="19" xfId="0" applyNumberFormat="1" applyFont="1" applyFill="1" applyBorder="1" applyAlignment="1" applyProtection="1">
      <alignment horizontal="center" vertical="center"/>
      <protection locked="0"/>
    </xf>
    <xf numFmtId="0" fontId="57" fillId="77" borderId="16" xfId="0" applyFont="1" applyFill="1" applyBorder="1" applyProtection="1">
      <protection locked="0"/>
    </xf>
    <xf numFmtId="3" fontId="205" fillId="77" borderId="16" xfId="0" applyNumberFormat="1" applyFont="1" applyFill="1" applyBorder="1" applyAlignment="1" applyProtection="1">
      <alignment horizontal="left" vertical="center"/>
      <protection locked="0"/>
    </xf>
    <xf numFmtId="3" fontId="7" fillId="77" borderId="16" xfId="0" applyNumberFormat="1" applyFont="1" applyFill="1" applyBorder="1" applyAlignment="1" applyProtection="1">
      <alignment horizontal="center" vertical="center"/>
      <protection locked="0"/>
    </xf>
    <xf numFmtId="3" fontId="7" fillId="77" borderId="16" xfId="0" applyNumberFormat="1" applyFont="1" applyFill="1" applyBorder="1" applyAlignment="1" applyProtection="1">
      <alignment vertical="center"/>
      <protection locked="0"/>
    </xf>
    <xf numFmtId="172" fontId="7" fillId="77" borderId="16" xfId="0" applyNumberFormat="1" applyFont="1" applyFill="1" applyBorder="1" applyAlignment="1" applyProtection="1">
      <alignment horizontal="center" vertical="center"/>
      <protection locked="0"/>
    </xf>
    <xf numFmtId="0" fontId="39" fillId="28" borderId="9" xfId="0" applyNumberFormat="1" applyFont="1" applyFill="1" applyBorder="1" applyAlignment="1" applyProtection="1">
      <alignment horizontal="center"/>
      <protection locked="0"/>
    </xf>
    <xf numFmtId="3" fontId="46" fillId="28" borderId="9" xfId="0" applyNumberFormat="1" applyFont="1" applyFill="1" applyBorder="1" applyAlignment="1" applyProtection="1">
      <alignment horizontal="center"/>
      <protection locked="0"/>
    </xf>
    <xf numFmtId="0" fontId="39" fillId="28" borderId="9" xfId="0" applyNumberFormat="1" applyFont="1" applyFill="1" applyBorder="1" applyAlignment="1" applyProtection="1">
      <alignment horizontal="center"/>
      <protection locked="0"/>
    </xf>
    <xf numFmtId="0" fontId="217" fillId="28" borderId="0" xfId="0" applyFont="1" applyFill="1" applyAlignment="1" applyProtection="1">
      <alignment/>
      <protection locked="0"/>
    </xf>
    <xf numFmtId="0" fontId="217" fillId="28" borderId="0" xfId="0" applyFont="1" applyFill="1" applyBorder="1" applyProtection="1">
      <protection locked="0"/>
    </xf>
    <xf numFmtId="0" fontId="42" fillId="26" borderId="0" xfId="0" applyFont="1" applyFill="1" applyBorder="1" applyAlignment="1" applyProtection="1">
      <alignment horizontal="center"/>
      <protection locked="0"/>
    </xf>
    <xf numFmtId="0" fontId="2" fillId="77" borderId="0" xfId="0" applyFont="1" applyFill="1" applyProtection="1">
      <protection locked="0"/>
    </xf>
    <xf numFmtId="0" fontId="12" fillId="77" borderId="0" xfId="0" applyFont="1" applyFill="1" applyBorder="1" applyProtection="1">
      <protection locked="0"/>
    </xf>
    <xf numFmtId="0" fontId="40" fillId="77" borderId="0" xfId="0" applyFont="1" applyFill="1" applyBorder="1" applyAlignment="1" applyProtection="1">
      <alignment horizontal="left" vertical="top"/>
      <protection locked="0"/>
    </xf>
    <xf numFmtId="178" fontId="210" fillId="26" borderId="54" xfId="59" applyNumberFormat="1" applyFont="1" applyFill="1" applyBorder="1" applyAlignment="1" applyProtection="1">
      <alignment horizontal="left" vertical="center"/>
      <protection locked="0"/>
    </xf>
    <xf numFmtId="0" fontId="217" fillId="77" borderId="0" xfId="0" applyFont="1" applyFill="1" applyAlignment="1" applyProtection="1">
      <alignment wrapText="1"/>
      <protection locked="0"/>
    </xf>
    <xf numFmtId="0" fontId="39" fillId="0" borderId="9" xfId="0" applyNumberFormat="1" applyFont="1" applyBorder="1" applyAlignment="1" applyProtection="1">
      <alignment horizontal="center"/>
      <protection locked="0"/>
    </xf>
    <xf numFmtId="38" fontId="46" fillId="28" borderId="9" xfId="0" applyNumberFormat="1" applyFont="1" applyFill="1" applyBorder="1" applyAlignment="1" applyProtection="1">
      <alignment horizontal="center"/>
      <protection locked="0"/>
    </xf>
    <xf numFmtId="0" fontId="2" fillId="77" borderId="0" xfId="0" applyFont="1" applyFill="1" applyBorder="1" applyProtection="1">
      <protection locked="0"/>
    </xf>
    <xf numFmtId="0" fontId="12" fillId="28" borderId="0" xfId="0" applyFont="1" applyFill="1" applyAlignment="1" applyProtection="1">
      <alignment wrapText="1"/>
      <protection locked="0"/>
    </xf>
    <xf numFmtId="0" fontId="12" fillId="28" borderId="0" xfId="0" applyFont="1" applyFill="1" applyBorder="1" applyProtection="1">
      <protection locked="0"/>
    </xf>
    <xf numFmtId="0" fontId="12" fillId="28" borderId="0" xfId="0" applyFont="1" applyFill="1" applyProtection="1">
      <protection locked="0"/>
    </xf>
    <xf numFmtId="3" fontId="212" fillId="77" borderId="0" xfId="0" applyNumberFormat="1" applyFont="1" applyFill="1" applyBorder="1" applyAlignment="1" applyProtection="1">
      <alignment horizontal="center" vertical="center"/>
      <protection locked="0"/>
    </xf>
    <xf numFmtId="0" fontId="7" fillId="77" borderId="9" xfId="0" applyFont="1" applyFill="1" applyBorder="1" applyAlignment="1" applyProtection="1">
      <alignment horizontal="center" vertical="center" wrapText="1"/>
      <protection locked="0"/>
    </xf>
    <xf numFmtId="0" fontId="7" fillId="28" borderId="9" xfId="0" applyFont="1" applyFill="1" applyBorder="1" applyAlignment="1" applyProtection="1">
      <alignment horizontal="center" vertical="center" wrapText="1"/>
      <protection locked="0"/>
    </xf>
    <xf numFmtId="0" fontId="43" fillId="77" borderId="74" xfId="0" applyFont="1" applyFill="1" applyBorder="1" applyAlignment="1" applyProtection="1">
      <alignment horizontal="left" vertical="center" wrapText="1"/>
      <protection locked="0"/>
    </xf>
    <xf numFmtId="0" fontId="43" fillId="77" borderId="75" xfId="0" applyFont="1" applyFill="1" applyBorder="1" applyAlignment="1" applyProtection="1">
      <alignment horizontal="center" vertical="center" wrapText="1"/>
      <protection locked="0"/>
    </xf>
    <xf numFmtId="0" fontId="43" fillId="77" borderId="76" xfId="0" applyFont="1" applyFill="1" applyBorder="1" applyAlignment="1" applyProtection="1">
      <alignment horizontal="center" vertical="center" wrapText="1"/>
      <protection locked="0"/>
    </xf>
    <xf numFmtId="0" fontId="52" fillId="77" borderId="77" xfId="0" applyFont="1" applyFill="1" applyBorder="1" applyAlignment="1" applyProtection="1">
      <alignment horizontal="left" vertical="center" wrapText="1"/>
      <protection locked="0"/>
    </xf>
    <xf numFmtId="0" fontId="52" fillId="28" borderId="50" xfId="0" applyFont="1" applyFill="1" applyBorder="1" applyAlignment="1" applyProtection="1">
      <alignment horizontal="center" vertical="center" wrapText="1"/>
      <protection locked="0"/>
    </xf>
    <xf numFmtId="0" fontId="52" fillId="28" borderId="52" xfId="0" applyFont="1" applyFill="1" applyBorder="1" applyAlignment="1" applyProtection="1">
      <alignment horizontal="center" vertical="center" wrapText="1"/>
      <protection locked="0"/>
    </xf>
    <xf numFmtId="0" fontId="52" fillId="77" borderId="83" xfId="0" applyFont="1" applyFill="1" applyBorder="1" applyAlignment="1" applyProtection="1">
      <alignment horizontal="left" vertical="center" wrapText="1"/>
      <protection locked="0"/>
    </xf>
    <xf numFmtId="0" fontId="7" fillId="77" borderId="84" xfId="0" applyFont="1" applyFill="1" applyBorder="1" applyAlignment="1" applyProtection="1">
      <alignment horizontal="left" wrapText="1"/>
      <protection locked="0"/>
    </xf>
    <xf numFmtId="0" fontId="52" fillId="77" borderId="15" xfId="0" applyFont="1" applyFill="1" applyBorder="1" applyAlignment="1" applyProtection="1">
      <alignment horizontal="left" vertical="center" wrapText="1"/>
      <protection locked="0"/>
    </xf>
    <xf numFmtId="43" fontId="7" fillId="77" borderId="0" xfId="18" applyFont="1" applyFill="1" applyBorder="1" applyAlignment="1" applyProtection="1">
      <alignment vertical="center"/>
      <protection locked="0"/>
    </xf>
    <xf numFmtId="43" fontId="7" fillId="77" borderId="0" xfId="18" applyFont="1" applyFill="1" applyBorder="1" applyAlignment="1" applyProtection="1">
      <alignment/>
      <protection locked="0"/>
    </xf>
    <xf numFmtId="180" fontId="7" fillId="77" borderId="0" xfId="16" applyNumberFormat="1" applyFont="1" applyFill="1" applyBorder="1" applyAlignment="1" applyProtection="1">
      <alignment horizontal="center"/>
      <protection locked="0"/>
    </xf>
    <xf numFmtId="0" fontId="4" fillId="77" borderId="19" xfId="0" applyFont="1" applyFill="1" applyBorder="1" applyProtection="1">
      <protection locked="0"/>
    </xf>
    <xf numFmtId="43" fontId="7" fillId="77" borderId="0" xfId="18" applyFont="1" applyFill="1" applyBorder="1" applyAlignment="1" applyProtection="1">
      <alignment horizontal="center" vertical="center"/>
      <protection locked="0"/>
    </xf>
    <xf numFmtId="0" fontId="207" fillId="77" borderId="0" xfId="0" applyFont="1" applyFill="1" applyBorder="1" applyProtection="1">
      <protection locked="0"/>
    </xf>
    <xf numFmtId="0" fontId="43" fillId="77" borderId="0" xfId="0" applyFont="1" applyFill="1" applyBorder="1" applyAlignment="1" applyProtection="1">
      <alignment horizontal="center" vertical="center"/>
      <protection locked="0"/>
    </xf>
    <xf numFmtId="0" fontId="6" fillId="77" borderId="19" xfId="0" applyFont="1" applyFill="1" applyBorder="1" applyProtection="1">
      <protection locked="0"/>
    </xf>
    <xf numFmtId="0" fontId="43" fillId="77" borderId="0" xfId="0" applyFont="1" applyFill="1" applyBorder="1" applyAlignment="1" applyProtection="1">
      <alignment horizontal="center" vertical="center" wrapText="1"/>
      <protection locked="0"/>
    </xf>
    <xf numFmtId="0" fontId="52" fillId="77" borderId="0" xfId="0" applyFont="1" applyFill="1" applyBorder="1" applyAlignment="1" applyProtection="1">
      <alignment horizontal="left" vertical="center" wrapText="1"/>
      <protection locked="0"/>
    </xf>
    <xf numFmtId="0" fontId="43" fillId="77" borderId="15" xfId="0" applyFont="1" applyFill="1" applyBorder="1" applyAlignment="1" applyProtection="1">
      <alignment horizontal="left" vertical="center" wrapText="1"/>
      <protection locked="0"/>
    </xf>
    <xf numFmtId="0" fontId="5" fillId="77" borderId="19" xfId="0" applyFont="1" applyFill="1" applyBorder="1" applyProtection="1">
      <protection locked="0"/>
    </xf>
    <xf numFmtId="0" fontId="5" fillId="77" borderId="0" xfId="0" applyFont="1" applyFill="1" applyBorder="1" applyProtection="1">
      <protection locked="0"/>
    </xf>
    <xf numFmtId="180" fontId="43" fillId="77" borderId="16" xfId="16" applyNumberFormat="1" applyFont="1" applyFill="1" applyBorder="1" applyProtection="1">
      <protection locked="0"/>
    </xf>
    <xf numFmtId="0" fontId="5" fillId="77" borderId="16" xfId="0" applyFont="1" applyFill="1" applyBorder="1" applyProtection="1">
      <protection locked="0"/>
    </xf>
    <xf numFmtId="0" fontId="5" fillId="77" borderId="78"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77" borderId="28" xfId="0" applyNumberFormat="1" applyFont="1" applyFill="1" applyBorder="1" applyAlignment="1" applyProtection="1">
      <alignment horizontal="center"/>
      <protection locked="0"/>
    </xf>
    <xf numFmtId="1" fontId="43" fillId="77" borderId="85" xfId="0" applyNumberFormat="1" applyFont="1" applyFill="1" applyBorder="1" applyAlignment="1" applyProtection="1">
      <alignment horizontal="center"/>
      <protection locked="0"/>
    </xf>
    <xf numFmtId="1" fontId="43" fillId="77" borderId="86" xfId="0" applyNumberFormat="1" applyFont="1" applyFill="1" applyBorder="1" applyAlignment="1" applyProtection="1">
      <alignment horizontal="center"/>
      <protection locked="0"/>
    </xf>
    <xf numFmtId="9" fontId="49" fillId="82" borderId="0" xfId="0" applyNumberFormat="1" applyFont="1" applyFill="1" applyAlignment="1">
      <alignment horizontal="center"/>
    </xf>
    <xf numFmtId="3" fontId="225" fillId="77" borderId="0" xfId="0" applyNumberFormat="1" applyFont="1" applyFill="1" applyBorder="1" applyAlignment="1" applyProtection="1">
      <alignment vertical="center"/>
      <protection locked="0"/>
    </xf>
    <xf numFmtId="0" fontId="1" fillId="77" borderId="19" xfId="0" applyFont="1" applyFill="1" applyBorder="1" applyProtection="1">
      <protection locked="0"/>
    </xf>
    <xf numFmtId="0" fontId="46" fillId="28" borderId="0" xfId="0" applyFont="1" applyFill="1" applyProtection="1">
      <protection locked="0"/>
    </xf>
    <xf numFmtId="0" fontId="6" fillId="28" borderId="0" xfId="0" applyFont="1" applyFill="1" applyAlignment="1" applyProtection="1">
      <alignment horizontal="left"/>
      <protection locked="0"/>
    </xf>
    <xf numFmtId="0" fontId="233" fillId="77" borderId="0" xfId="0" applyFont="1" applyFill="1" applyAlignment="1" applyProtection="1">
      <alignment horizontal="center"/>
      <protection locked="0"/>
    </xf>
    <xf numFmtId="0" fontId="230" fillId="77" borderId="0" xfId="0" applyFont="1" applyFill="1" applyAlignment="1" applyProtection="1">
      <alignment horizontal="center"/>
      <protection locked="0"/>
    </xf>
    <xf numFmtId="0" fontId="231" fillId="77" borderId="0" xfId="0" applyFont="1" applyFill="1" applyBorder="1" applyAlignment="1" applyProtection="1">
      <alignment horizontal="center"/>
      <protection locked="0"/>
    </xf>
    <xf numFmtId="0" fontId="232" fillId="77" borderId="0" xfId="0" applyFont="1" applyFill="1" applyAlignment="1" applyProtection="1">
      <alignment horizontal="center"/>
      <protection locked="0"/>
    </xf>
    <xf numFmtId="0" fontId="230" fillId="77" borderId="0" xfId="0" applyFont="1" applyFill="1" applyBorder="1" applyAlignment="1" applyProtection="1">
      <alignment horizontal="center"/>
      <protection locked="0"/>
    </xf>
    <xf numFmtId="0" fontId="233" fillId="77" borderId="0" xfId="0" applyFont="1" applyFill="1" applyBorder="1" applyAlignment="1" applyProtection="1">
      <alignment horizontal="center"/>
      <protection locked="0"/>
    </xf>
    <xf numFmtId="3" fontId="225" fillId="77" borderId="0" xfId="0" applyNumberFormat="1" applyFont="1" applyFill="1" applyBorder="1" applyAlignment="1" applyProtection="1">
      <alignment vertical="center" wrapText="1"/>
      <protection locked="0"/>
    </xf>
    <xf numFmtId="0" fontId="0" fillId="77" borderId="0" xfId="0" applyFill="1" applyBorder="1" applyProtection="1">
      <protection locked="0"/>
    </xf>
    <xf numFmtId="0" fontId="1" fillId="77" borderId="0" xfId="0" applyFont="1" applyFill="1" applyBorder="1" applyAlignment="1" applyProtection="1">
      <alignment horizontal="center" vertical="center"/>
      <protection locked="0"/>
    </xf>
    <xf numFmtId="9" fontId="39" fillId="77" borderId="0" xfId="15" applyFont="1" applyFill="1" applyBorder="1" applyAlignment="1" applyProtection="1">
      <alignment horizontal="center" vertical="center"/>
      <protection locked="0"/>
    </xf>
    <xf numFmtId="3" fontId="229" fillId="77" borderId="15" xfId="0" applyNumberFormat="1" applyFont="1" applyFill="1" applyBorder="1" applyAlignment="1" applyProtection="1">
      <alignment vertical="center"/>
      <protection locked="0"/>
    </xf>
    <xf numFmtId="3" fontId="229" fillId="0" borderId="15" xfId="0" applyNumberFormat="1" applyFont="1" applyFill="1" applyBorder="1" applyAlignment="1" applyProtection="1">
      <alignment vertical="center" wrapText="1"/>
      <protection locked="0"/>
    </xf>
    <xf numFmtId="0" fontId="89" fillId="77" borderId="15" xfId="0" applyFont="1" applyFill="1" applyBorder="1" applyAlignment="1" applyProtection="1">
      <alignment vertical="top" wrapText="1"/>
      <protection locked="0"/>
    </xf>
    <xf numFmtId="3" fontId="89" fillId="77" borderId="28" xfId="0" applyNumberFormat="1" applyFont="1" applyFill="1" applyBorder="1" applyAlignment="1" applyProtection="1">
      <alignment horizontal="left" vertical="center"/>
      <protection locked="0"/>
    </xf>
    <xf numFmtId="0" fontId="230" fillId="77" borderId="0" xfId="0" applyFont="1" applyFill="1" applyAlignment="1" applyProtection="1">
      <alignment horizontal="center" vertical="center"/>
      <protection locked="0"/>
    </xf>
    <xf numFmtId="0" fontId="230" fillId="77" borderId="0" xfId="0" applyFont="1" applyFill="1" applyBorder="1" applyAlignment="1" applyProtection="1">
      <alignment horizontal="center" vertical="center"/>
      <protection locked="0"/>
    </xf>
    <xf numFmtId="3" fontId="229" fillId="77" borderId="0" xfId="0" applyNumberFormat="1" applyFont="1" applyFill="1" applyBorder="1" applyAlignment="1" applyProtection="1">
      <alignment vertical="center"/>
      <protection locked="0"/>
    </xf>
    <xf numFmtId="3" fontId="45" fillId="77" borderId="0" xfId="0" applyNumberFormat="1" applyFont="1" applyFill="1" applyBorder="1" applyAlignment="1" applyProtection="1">
      <alignment vertical="center"/>
      <protection locked="0"/>
    </xf>
    <xf numFmtId="0" fontId="89" fillId="77" borderId="0" xfId="0" applyNumberFormat="1" applyFont="1" applyFill="1" applyBorder="1" applyAlignment="1" applyProtection="1">
      <alignment vertical="top"/>
      <protection locked="0"/>
    </xf>
    <xf numFmtId="0" fontId="89" fillId="77" borderId="0" xfId="0" applyNumberFormat="1" applyFont="1" applyFill="1" applyBorder="1" applyAlignment="1" applyProtection="1">
      <alignment vertical="top" wrapText="1"/>
      <protection locked="0"/>
    </xf>
    <xf numFmtId="3" fontId="89" fillId="77" borderId="0" xfId="0" applyNumberFormat="1" applyFont="1" applyFill="1" applyBorder="1" applyAlignment="1" applyProtection="1">
      <alignment vertical="center" wrapText="1"/>
      <protection locked="0"/>
    </xf>
    <xf numFmtId="3" fontId="89" fillId="77"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77" borderId="0" xfId="0" applyNumberFormat="1" applyFont="1" applyFill="1" applyBorder="1" applyAlignment="1" applyProtection="1">
      <alignment horizontal="center" vertical="center"/>
      <protection locked="0"/>
    </xf>
    <xf numFmtId="0" fontId="230" fillId="77" borderId="19" xfId="0" applyFont="1" applyFill="1" applyBorder="1" applyAlignment="1" applyProtection="1">
      <alignment horizontal="center" vertical="center"/>
      <protection locked="0"/>
    </xf>
    <xf numFmtId="0" fontId="12" fillId="26" borderId="9" xfId="0" applyFont="1" applyFill="1" applyBorder="1" applyAlignment="1" applyProtection="1">
      <alignment horizontal="center"/>
      <protection locked="0"/>
    </xf>
    <xf numFmtId="175" fontId="89" fillId="77" borderId="87" xfId="0" applyNumberFormat="1" applyFont="1" applyFill="1" applyBorder="1" applyAlignment="1">
      <alignment horizontal="center"/>
    </xf>
    <xf numFmtId="0" fontId="43" fillId="77" borderId="77" xfId="0" applyFont="1" applyFill="1" applyBorder="1" applyAlignment="1" applyProtection="1">
      <alignment horizontal="left" vertical="center" wrapText="1"/>
      <protection locked="0"/>
    </xf>
    <xf numFmtId="0" fontId="42" fillId="77" borderId="0" xfId="0" applyFont="1" applyFill="1" applyBorder="1" applyAlignment="1">
      <alignment horizontal="left" vertical="center"/>
    </xf>
    <xf numFmtId="0" fontId="89" fillId="77" borderId="0" xfId="0" applyFont="1" applyFill="1" applyBorder="1" applyAlignment="1">
      <alignment horizontal="left" wrapText="1"/>
    </xf>
    <xf numFmtId="0" fontId="42" fillId="77" borderId="0" xfId="0" applyFont="1" applyFill="1" applyBorder="1" applyAlignment="1" applyProtection="1">
      <alignment horizontal="left" vertical="top"/>
      <protection locked="0"/>
    </xf>
    <xf numFmtId="0" fontId="42" fillId="77" borderId="0" xfId="0" applyFont="1" applyFill="1" applyBorder="1" applyAlignment="1">
      <alignment horizontal="left" vertical="top"/>
    </xf>
    <xf numFmtId="0" fontId="89" fillId="77" borderId="0" xfId="0" applyFont="1" applyFill="1" applyBorder="1" applyAlignment="1" applyProtection="1">
      <alignment horizontal="left" vertical="center" wrapText="1"/>
      <protection locked="0"/>
    </xf>
    <xf numFmtId="0" fontId="89" fillId="28" borderId="88" xfId="0" applyFont="1" applyFill="1" applyBorder="1" applyAlignment="1">
      <alignment horizontal="left" vertical="center"/>
    </xf>
    <xf numFmtId="0" fontId="210" fillId="28" borderId="63" xfId="59" applyNumberFormat="1" applyFont="1" applyFill="1" applyBorder="1" applyAlignment="1">
      <alignment horizontal="left" vertical="center"/>
    </xf>
    <xf numFmtId="0" fontId="89" fillId="77" borderId="0" xfId="0" applyFont="1" applyFill="1" applyAlignment="1">
      <alignment/>
    </xf>
    <xf numFmtId="0" fontId="89" fillId="77" borderId="0" xfId="0" applyFont="1" applyFill="1" applyAlignment="1">
      <alignment wrapText="1"/>
    </xf>
    <xf numFmtId="0" fontId="89" fillId="77" borderId="0" xfId="0" applyFont="1" applyFill="1" applyAlignment="1">
      <alignment horizontal="left" wrapText="1"/>
    </xf>
    <xf numFmtId="0" fontId="89" fillId="77" borderId="0" xfId="0" applyFont="1" applyFill="1" applyAlignment="1">
      <alignment horizontal="left"/>
    </xf>
    <xf numFmtId="0" fontId="89" fillId="77" borderId="16" xfId="0" applyFont="1" applyFill="1" applyBorder="1" applyAlignment="1">
      <alignment horizontal="left" wrapText="1"/>
    </xf>
    <xf numFmtId="0" fontId="0" fillId="77" borderId="0" xfId="0" applyFont="1" applyFill="1" applyBorder="1" applyAlignment="1">
      <alignment vertical="center"/>
    </xf>
    <xf numFmtId="0" fontId="3" fillId="77" borderId="0" xfId="0" applyFont="1" applyFill="1" applyBorder="1" applyAlignment="1">
      <alignment vertical="center"/>
    </xf>
    <xf numFmtId="0" fontId="42" fillId="77" borderId="0" xfId="0" applyFont="1" applyFill="1" applyBorder="1" applyAlignment="1">
      <alignment horizontal="left"/>
    </xf>
    <xf numFmtId="0" fontId="89" fillId="77" borderId="0" xfId="59" applyNumberFormat="1" applyFont="1" applyFill="1" applyBorder="1" applyAlignment="1">
      <alignment vertical="center" wrapText="1"/>
    </xf>
    <xf numFmtId="0" fontId="7" fillId="77" borderId="9" xfId="0" applyFont="1" applyFill="1" applyBorder="1" applyAlignment="1" applyProtection="1">
      <alignment horizontal="left" vertical="center"/>
      <protection locked="0"/>
    </xf>
    <xf numFmtId="169" fontId="39" fillId="77" borderId="9" xfId="0" applyNumberFormat="1" applyFont="1" applyFill="1" applyBorder="1"/>
    <xf numFmtId="169" fontId="39" fillId="77" borderId="69" xfId="16" applyFont="1" applyFill="1" applyBorder="1"/>
    <xf numFmtId="169" fontId="39" fillId="77" borderId="9" xfId="16" applyFont="1" applyFill="1" applyBorder="1"/>
    <xf numFmtId="169" fontId="39" fillId="77" borderId="68" xfId="16" applyFont="1" applyFill="1" applyBorder="1"/>
    <xf numFmtId="169" fontId="39" fillId="77" borderId="51" xfId="16" applyFont="1" applyFill="1" applyBorder="1"/>
    <xf numFmtId="169" fontId="39" fillId="77" borderId="0" xfId="16" applyFont="1" applyFill="1"/>
    <xf numFmtId="0" fontId="45" fillId="79" borderId="28" xfId="0" applyNumberFormat="1" applyFont="1" applyFill="1" applyBorder="1" applyAlignment="1">
      <alignment horizontal="center" vertical="center" wrapText="1"/>
    </xf>
    <xf numFmtId="174" fontId="45" fillId="79" borderId="9" xfId="0" applyNumberFormat="1" applyFont="1" applyFill="1" applyBorder="1" applyAlignment="1">
      <alignment horizontal="center" vertical="center" wrapText="1"/>
    </xf>
    <xf numFmtId="0" fontId="89" fillId="77" borderId="0" xfId="0" applyFont="1" applyFill="1"/>
    <xf numFmtId="0" fontId="45" fillId="77" borderId="0" xfId="0" applyFont="1" applyFill="1"/>
    <xf numFmtId="174" fontId="45" fillId="79" borderId="28" xfId="0" applyNumberFormat="1" applyFont="1" applyFill="1" applyBorder="1" applyAlignment="1">
      <alignment horizontal="center" vertical="center" wrapText="1"/>
    </xf>
    <xf numFmtId="0" fontId="42" fillId="77" borderId="0" xfId="0" applyFont="1" applyFill="1" applyBorder="1" applyAlignment="1" applyProtection="1">
      <alignment horizontal="left" vertical="top"/>
      <protection locked="0"/>
    </xf>
    <xf numFmtId="0" fontId="0" fillId="83" borderId="0" xfId="0" applyFont="1" applyFill="1" applyBorder="1" applyAlignment="1">
      <alignment vertical="center"/>
    </xf>
    <xf numFmtId="0" fontId="0" fillId="83" borderId="0" xfId="0" applyFont="1" applyFill="1" applyBorder="1" applyAlignment="1">
      <alignment horizontal="left" vertical="center"/>
    </xf>
    <xf numFmtId="0" fontId="89" fillId="83" borderId="0" xfId="0" applyFont="1" applyFill="1" applyBorder="1" applyAlignment="1">
      <alignment horizontal="left" vertical="center"/>
    </xf>
    <xf numFmtId="178" fontId="210" fillId="83" borderId="54" xfId="59" applyNumberFormat="1" applyFont="1" applyFill="1" applyBorder="1" applyAlignment="1">
      <alignment horizontal="left" vertical="center"/>
    </xf>
    <xf numFmtId="0" fontId="46" fillId="83" borderId="0" xfId="0" applyFont="1" applyFill="1" applyBorder="1" applyAlignment="1">
      <alignment horizontal="left" vertical="center"/>
    </xf>
    <xf numFmtId="174" fontId="45" fillId="79" borderId="9" xfId="0" applyNumberFormat="1" applyFont="1" applyFill="1" applyBorder="1" applyAlignment="1">
      <alignment horizontal="left" vertical="center" wrapText="1"/>
    </xf>
    <xf numFmtId="174" fontId="45" fillId="79" borderId="28" xfId="0" applyNumberFormat="1" applyFont="1" applyFill="1" applyBorder="1" applyAlignment="1">
      <alignment horizontal="left" vertical="center" wrapText="1"/>
    </xf>
    <xf numFmtId="0" fontId="12" fillId="83" borderId="0" xfId="0" applyFont="1" applyFill="1" applyBorder="1" applyAlignment="1">
      <alignment vertical="center"/>
    </xf>
    <xf numFmtId="178" fontId="210" fillId="77" borderId="0" xfId="59" applyNumberFormat="1" applyFont="1" applyFill="1" applyBorder="1" applyAlignment="1" applyProtection="1">
      <alignment horizontal="left" vertical="center"/>
      <protection locked="0"/>
    </xf>
    <xf numFmtId="3" fontId="89" fillId="77" borderId="68" xfId="0" applyNumberFormat="1" applyFont="1" applyFill="1" applyBorder="1" applyAlignment="1">
      <alignment horizontal="center" vertical="center"/>
    </xf>
    <xf numFmtId="3" fontId="89" fillId="77" borderId="30" xfId="0" applyNumberFormat="1" applyFont="1" applyFill="1" applyBorder="1" applyAlignment="1">
      <alignment horizontal="center" vertical="center"/>
    </xf>
    <xf numFmtId="3" fontId="89" fillId="77" borderId="69" xfId="0" applyNumberFormat="1" applyFont="1" applyFill="1" applyBorder="1" applyAlignment="1">
      <alignment horizontal="center" vertical="center"/>
    </xf>
    <xf numFmtId="174" fontId="43" fillId="79" borderId="68" xfId="0" applyNumberFormat="1" applyFont="1" applyFill="1" applyBorder="1" applyAlignment="1">
      <alignment horizontal="center" vertical="center" wrapText="1"/>
    </xf>
    <xf numFmtId="174" fontId="43" fillId="79" borderId="30" xfId="0" applyNumberFormat="1" applyFont="1" applyFill="1" applyBorder="1" applyAlignment="1">
      <alignment horizontal="center" vertical="center" wrapText="1"/>
    </xf>
    <xf numFmtId="174" fontId="43" fillId="79" borderId="69" xfId="0" applyNumberFormat="1" applyFont="1" applyFill="1" applyBorder="1" applyAlignment="1">
      <alignment horizontal="center" vertical="center" wrapText="1"/>
    </xf>
    <xf numFmtId="174" fontId="89" fillId="79" borderId="68" xfId="0" applyNumberFormat="1" applyFont="1" applyFill="1" applyBorder="1" applyAlignment="1">
      <alignment horizontal="center" vertical="center" wrapText="1"/>
    </xf>
    <xf numFmtId="0" fontId="217" fillId="77" borderId="30" xfId="0" applyFont="1" applyFill="1" applyBorder="1"/>
    <xf numFmtId="174" fontId="89" fillId="79" borderId="30" xfId="0" applyNumberFormat="1" applyFont="1" applyFill="1" applyBorder="1" applyAlignment="1">
      <alignment horizontal="center" vertical="center" wrapText="1"/>
    </xf>
    <xf numFmtId="174" fontId="89" fillId="79" borderId="69" xfId="0" applyNumberFormat="1" applyFont="1" applyFill="1" applyBorder="1" applyAlignment="1">
      <alignment horizontal="center" vertical="center" wrapText="1"/>
    </xf>
    <xf numFmtId="3" fontId="43" fillId="77" borderId="68" xfId="0" applyNumberFormat="1" applyFont="1" applyFill="1" applyBorder="1" applyAlignment="1">
      <alignment horizontal="center" vertical="center"/>
    </xf>
    <xf numFmtId="3" fontId="43" fillId="77" borderId="30" xfId="0" applyNumberFormat="1" applyFont="1" applyFill="1" applyBorder="1" applyAlignment="1">
      <alignment horizontal="center" vertical="center"/>
    </xf>
    <xf numFmtId="3" fontId="43" fillId="77" borderId="69" xfId="0" applyNumberFormat="1" applyFont="1" applyFill="1" applyBorder="1" applyAlignment="1">
      <alignment horizontal="center" vertical="center"/>
    </xf>
    <xf numFmtId="0" fontId="42" fillId="77" borderId="0" xfId="0" applyFont="1" applyFill="1" applyBorder="1" applyAlignment="1" applyProtection="1">
      <alignment vertical="top"/>
      <protection locked="0"/>
    </xf>
    <xf numFmtId="0" fontId="36" fillId="77" borderId="0" xfId="89" applyFill="1"/>
    <xf numFmtId="0" fontId="36" fillId="77" borderId="0" xfId="89" applyFill="1" applyProtection="1">
      <protection locked="0"/>
    </xf>
    <xf numFmtId="0" fontId="36" fillId="77" borderId="0" xfId="89" applyFill="1" applyBorder="1" applyAlignment="1" applyProtection="1">
      <alignment horizontal="left" vertical="center"/>
      <protection locked="0"/>
    </xf>
    <xf numFmtId="0" fontId="36" fillId="0" borderId="0" xfId="89"/>
    <xf numFmtId="178" fontId="49" fillId="77" borderId="0" xfId="59" applyNumberFormat="1" applyFont="1" applyFill="1" applyBorder="1" applyAlignment="1">
      <alignment horizontal="left" vertical="center"/>
    </xf>
    <xf numFmtId="178" fontId="36" fillId="77" borderId="0" xfId="89" applyNumberFormat="1" applyFill="1" applyBorder="1" applyAlignment="1">
      <alignment horizontal="left" vertical="center"/>
    </xf>
    <xf numFmtId="0" fontId="36" fillId="77" borderId="0" xfId="89" applyFill="1" applyAlignment="1" applyProtection="1">
      <alignment wrapText="1"/>
      <protection locked="0"/>
    </xf>
    <xf numFmtId="0" fontId="36" fillId="77" borderId="0" xfId="89" applyFill="1" applyBorder="1" applyAlignment="1" applyProtection="1">
      <alignment horizontal="left" vertical="top"/>
      <protection locked="0"/>
    </xf>
    <xf numFmtId="0" fontId="36" fillId="77" borderId="0" xfId="89" applyFill="1" applyBorder="1" applyAlignment="1">
      <alignment horizontal="left" vertical="center"/>
    </xf>
    <xf numFmtId="1" fontId="6" fillId="28" borderId="0" xfId="0" applyNumberFormat="1" applyFont="1" applyFill="1" applyAlignment="1">
      <alignment vertical="center"/>
    </xf>
    <xf numFmtId="0" fontId="6" fillId="28" borderId="0" xfId="0" applyFont="1" applyFill="1"/>
    <xf numFmtId="180" fontId="6" fillId="28" borderId="0" xfId="0" applyNumberFormat="1" applyFont="1" applyFill="1"/>
    <xf numFmtId="0" fontId="0" fillId="28" borderId="0" xfId="0" applyFont="1" applyFill="1"/>
    <xf numFmtId="0" fontId="0" fillId="28" borderId="0" xfId="0" applyFont="1" applyFill="1" applyAlignment="1">
      <alignment horizontal="center"/>
    </xf>
    <xf numFmtId="0" fontId="39" fillId="77" borderId="0" xfId="0" applyFont="1" applyFill="1" applyBorder="1" applyAlignment="1">
      <alignment horizontal="center" vertical="center"/>
    </xf>
    <xf numFmtId="0" fontId="7" fillId="77" borderId="77" xfId="0" applyFont="1" applyFill="1" applyBorder="1" applyAlignment="1" applyProtection="1">
      <alignment horizontal="left" vertical="center" wrapText="1"/>
      <protection locked="0"/>
    </xf>
    <xf numFmtId="0" fontId="0" fillId="83" borderId="0" xfId="0" applyFill="1"/>
    <xf numFmtId="0" fontId="89" fillId="77" borderId="0" xfId="0" applyFont="1" applyFill="1" applyBorder="1" applyAlignment="1" applyProtection="1">
      <alignment vertical="center" wrapText="1"/>
      <protection locked="0"/>
    </xf>
    <xf numFmtId="0" fontId="0" fillId="28" borderId="9" xfId="0" applyFill="1" applyBorder="1"/>
    <xf numFmtId="0" fontId="0" fillId="77" borderId="9" xfId="0" applyFill="1" applyBorder="1" applyAlignment="1">
      <alignment horizontal="center"/>
    </xf>
    <xf numFmtId="0" fontId="42" fillId="77" borderId="0" xfId="0" applyFont="1" applyFill="1" applyAlignment="1">
      <alignment horizontal="center"/>
    </xf>
    <xf numFmtId="178" fontId="210" fillId="83" borderId="89" xfId="59" applyNumberFormat="1" applyFont="1" applyFill="1" applyBorder="1" applyAlignment="1">
      <alignment vertical="center"/>
    </xf>
    <xf numFmtId="0" fontId="46" fillId="83" borderId="0" xfId="0" applyFont="1" applyFill="1"/>
    <xf numFmtId="0" fontId="234" fillId="77" borderId="11" xfId="89" applyFont="1" applyFill="1" applyBorder="1" applyAlignment="1">
      <alignment vertical="center"/>
    </xf>
    <xf numFmtId="0" fontId="46" fillId="77" borderId="0" xfId="0" applyFont="1" applyFill="1" applyAlignment="1">
      <alignment horizontal="left" vertical="center"/>
    </xf>
    <xf numFmtId="0" fontId="210" fillId="77" borderId="0" xfId="59" applyNumberFormat="1" applyFont="1" applyFill="1" applyBorder="1" applyAlignment="1" applyProtection="1">
      <alignment vertical="center" wrapText="1"/>
      <protection locked="0"/>
    </xf>
    <xf numFmtId="0" fontId="46" fillId="83" borderId="0" xfId="0" applyFont="1" applyFill="1" applyAlignment="1">
      <alignment/>
    </xf>
    <xf numFmtId="0" fontId="36" fillId="83" borderId="0" xfId="89" applyFill="1"/>
    <xf numFmtId="0" fontId="89" fillId="77" borderId="0" xfId="0" applyFont="1" applyFill="1" applyBorder="1" applyAlignment="1">
      <alignment vertical="center" wrapText="1"/>
    </xf>
    <xf numFmtId="0" fontId="234" fillId="77" borderId="51" xfId="89" applyFont="1" applyFill="1" applyBorder="1" applyAlignment="1">
      <alignment vertical="center"/>
    </xf>
    <xf numFmtId="0" fontId="211" fillId="78" borderId="9" xfId="0" applyFont="1" applyFill="1" applyBorder="1" applyAlignment="1">
      <alignment horizontal="center"/>
    </xf>
    <xf numFmtId="0" fontId="217" fillId="77" borderId="0" xfId="0" applyFont="1" applyFill="1" applyAlignment="1" applyProtection="1">
      <alignment/>
      <protection locked="0"/>
    </xf>
    <xf numFmtId="8" fontId="89" fillId="77" borderId="50" xfId="0" applyNumberFormat="1" applyFont="1" applyFill="1" applyBorder="1" applyAlignment="1">
      <alignment horizontal="center"/>
    </xf>
    <xf numFmtId="8" fontId="234" fillId="77" borderId="86" xfId="89" applyNumberFormat="1" applyFont="1" applyFill="1" applyBorder="1" applyAlignment="1">
      <alignment horizontal="center" vertical="center"/>
    </xf>
    <xf numFmtId="175" fontId="45" fillId="77" borderId="9" xfId="0" applyNumberFormat="1" applyFont="1" applyFill="1" applyBorder="1" applyAlignment="1">
      <alignment horizontal="center"/>
    </xf>
    <xf numFmtId="175" fontId="45" fillId="77" borderId="9" xfId="0" applyNumberFormat="1" applyFont="1" applyFill="1" applyBorder="1" applyAlignment="1">
      <alignment horizontal="center"/>
    </xf>
    <xf numFmtId="8" fontId="89" fillId="77" borderId="90" xfId="0" applyNumberFormat="1" applyFont="1" applyFill="1" applyBorder="1" applyAlignment="1">
      <alignment horizontal="center"/>
    </xf>
    <xf numFmtId="3" fontId="39" fillId="77" borderId="9" xfId="0" applyNumberFormat="1" applyFont="1" applyFill="1" applyBorder="1" applyAlignment="1" applyProtection="1">
      <alignment horizontal="center"/>
      <protection locked="0"/>
    </xf>
    <xf numFmtId="0" fontId="234" fillId="0" borderId="11" xfId="89" applyFont="1" applyBorder="1" applyAlignment="1">
      <alignment vertical="center"/>
    </xf>
    <xf numFmtId="0" fontId="215" fillId="77" borderId="9" xfId="0" applyFont="1" applyFill="1" applyBorder="1" applyAlignment="1">
      <alignment horizontal="left" vertical="top" wrapText="1"/>
    </xf>
    <xf numFmtId="173" fontId="43" fillId="77" borderId="19" xfId="16" applyNumberFormat="1" applyFont="1" applyFill="1" applyBorder="1" applyAlignment="1" applyProtection="1">
      <alignment horizontal="center" vertical="center"/>
      <protection locked="0"/>
    </xf>
    <xf numFmtId="0" fontId="0" fillId="77" borderId="15" xfId="0" applyFill="1" applyBorder="1" applyProtection="1">
      <protection locked="0"/>
    </xf>
    <xf numFmtId="0" fontId="1" fillId="77" borderId="15" xfId="0" applyFont="1" applyFill="1" applyBorder="1" applyProtection="1">
      <protection locked="0"/>
    </xf>
    <xf numFmtId="9" fontId="39" fillId="28" borderId="0" xfId="15" applyFont="1" applyFill="1" applyBorder="1" applyAlignment="1" applyProtection="1">
      <alignment horizontal="center" vertical="center"/>
      <protection locked="0"/>
    </xf>
    <xf numFmtId="0" fontId="12" fillId="77" borderId="9" xfId="0" applyFont="1" applyFill="1" applyBorder="1" applyAlignment="1">
      <alignment vertical="top"/>
    </xf>
    <xf numFmtId="0" fontId="0" fillId="26" borderId="0" xfId="0" applyFill="1"/>
    <xf numFmtId="0" fontId="215" fillId="77" borderId="9" xfId="0" applyFont="1" applyFill="1" applyBorder="1" applyAlignment="1">
      <alignment vertical="top" wrapText="1"/>
    </xf>
    <xf numFmtId="178" fontId="210" fillId="26" borderId="89" xfId="59" applyNumberFormat="1" applyFont="1" applyFill="1" applyBorder="1" applyAlignment="1">
      <alignment horizontal="left" vertical="center"/>
    </xf>
    <xf numFmtId="173" fontId="89" fillId="28" borderId="57" xfId="0" applyNumberFormat="1" applyFont="1" applyFill="1" applyBorder="1" applyAlignment="1">
      <alignment horizontal="center"/>
    </xf>
    <xf numFmtId="173" fontId="89" fillId="28" borderId="9" xfId="0" applyNumberFormat="1" applyFont="1" applyFill="1" applyBorder="1" applyAlignment="1">
      <alignment horizontal="center"/>
    </xf>
    <xf numFmtId="0" fontId="0" fillId="83" borderId="0" xfId="0" applyFill="1" applyBorder="1"/>
    <xf numFmtId="0" fontId="215" fillId="77" borderId="0" xfId="0" applyFont="1" applyFill="1" applyBorder="1" applyAlignment="1">
      <alignment horizontal="left" vertical="top" wrapText="1"/>
    </xf>
    <xf numFmtId="0" fontId="12" fillId="77" borderId="0" xfId="0" applyFont="1" applyFill="1" applyBorder="1" applyAlignment="1">
      <alignment horizontal="left" vertical="top" wrapText="1"/>
    </xf>
    <xf numFmtId="0" fontId="215" fillId="77" borderId="60" xfId="0" applyFont="1" applyFill="1" applyBorder="1" applyAlignment="1">
      <alignment vertical="top" wrapText="1"/>
    </xf>
    <xf numFmtId="0" fontId="0" fillId="26" borderId="9" xfId="0" applyFill="1" applyBorder="1"/>
    <xf numFmtId="0" fontId="12" fillId="77" borderId="0" xfId="0" applyFont="1" applyFill="1" applyAlignment="1">
      <alignment horizontal="center" vertical="center"/>
    </xf>
    <xf numFmtId="0" fontId="12" fillId="77" borderId="0" xfId="0" applyFont="1" applyFill="1" applyBorder="1" applyAlignment="1">
      <alignment vertical="center"/>
    </xf>
    <xf numFmtId="175" fontId="45" fillId="77" borderId="57" xfId="0" applyNumberFormat="1" applyFont="1" applyFill="1" applyBorder="1" applyAlignment="1">
      <alignment horizontal="left" vertical="center"/>
    </xf>
    <xf numFmtId="175" fontId="89" fillId="77" borderId="64" xfId="0" applyNumberFormat="1" applyFont="1" applyFill="1" applyBorder="1" applyAlignment="1" quotePrefix="1">
      <alignment horizontal="left" vertical="center"/>
    </xf>
    <xf numFmtId="175" fontId="219" fillId="77" borderId="64" xfId="0" applyNumberFormat="1" applyFont="1" applyFill="1" applyBorder="1" applyAlignment="1">
      <alignment horizontal="left" vertical="center"/>
    </xf>
    <xf numFmtId="175" fontId="45" fillId="77" borderId="64" xfId="0" applyNumberFormat="1" applyFont="1" applyFill="1" applyBorder="1" applyAlignment="1">
      <alignment horizontal="left" vertical="center"/>
    </xf>
    <xf numFmtId="175" fontId="45" fillId="77" borderId="64" xfId="0" applyNumberFormat="1" applyFont="1" applyFill="1" applyBorder="1" applyAlignment="1" quotePrefix="1">
      <alignment horizontal="left" vertical="center"/>
    </xf>
    <xf numFmtId="175" fontId="45" fillId="77" borderId="66" xfId="0" applyNumberFormat="1" applyFont="1" applyFill="1" applyBorder="1" applyAlignment="1" quotePrefix="1">
      <alignment horizontal="left" vertical="center"/>
    </xf>
    <xf numFmtId="0" fontId="89" fillId="77" borderId="58" xfId="0" applyNumberFormat="1" applyFont="1" applyFill="1" applyBorder="1" applyAlignment="1">
      <alignment horizontal="left" vertical="center"/>
    </xf>
    <xf numFmtId="0" fontId="89" fillId="77" borderId="91" xfId="0" applyNumberFormat="1" applyFont="1" applyFill="1" applyBorder="1" applyAlignment="1">
      <alignment horizontal="left" vertical="center"/>
    </xf>
    <xf numFmtId="0" fontId="89" fillId="77" borderId="92" xfId="0" applyNumberFormat="1" applyFont="1" applyFill="1" applyBorder="1" applyAlignment="1">
      <alignment horizontal="left" vertical="center"/>
    </xf>
    <xf numFmtId="0" fontId="46" fillId="77" borderId="57" xfId="0" applyFont="1" applyFill="1" applyBorder="1" applyAlignment="1">
      <alignment horizontal="left" vertical="center"/>
    </xf>
    <xf numFmtId="0" fontId="46" fillId="77" borderId="64" xfId="0" applyFont="1" applyFill="1" applyBorder="1" applyAlignment="1">
      <alignment horizontal="left" vertical="center"/>
    </xf>
    <xf numFmtId="0" fontId="89" fillId="77" borderId="64" xfId="0" applyNumberFormat="1" applyFont="1" applyFill="1" applyBorder="1" applyAlignment="1">
      <alignment horizontal="left" vertical="center"/>
    </xf>
    <xf numFmtId="0" fontId="12" fillId="77" borderId="66" xfId="0" applyFont="1" applyFill="1" applyBorder="1" applyAlignment="1">
      <alignment vertical="center"/>
    </xf>
    <xf numFmtId="175" fontId="89" fillId="77" borderId="58" xfId="0" applyNumberFormat="1" applyFont="1" applyFill="1" applyBorder="1" applyAlignment="1">
      <alignment horizontal="left" vertical="center" wrapText="1"/>
    </xf>
    <xf numFmtId="175" fontId="89" fillId="77" borderId="91" xfId="0" applyNumberFormat="1" applyFont="1" applyFill="1" applyBorder="1" applyAlignment="1">
      <alignment horizontal="left" vertical="center" wrapText="1"/>
    </xf>
    <xf numFmtId="175" fontId="89" fillId="77" borderId="91" xfId="0" applyNumberFormat="1" applyFont="1" applyFill="1" applyBorder="1" applyAlignment="1">
      <alignment horizontal="left" vertical="center"/>
    </xf>
    <xf numFmtId="175" fontId="89" fillId="77" borderId="91" xfId="0" applyNumberFormat="1" applyFont="1" applyFill="1" applyBorder="1" applyAlignment="1">
      <alignment horizontal="center" vertical="center"/>
    </xf>
    <xf numFmtId="175" fontId="89" fillId="77" borderId="92" xfId="0" applyNumberFormat="1" applyFont="1" applyFill="1" applyBorder="1" applyAlignment="1">
      <alignment horizontal="center" vertical="center"/>
    </xf>
    <xf numFmtId="0" fontId="12" fillId="77" borderId="64" xfId="0" applyFont="1" applyFill="1" applyBorder="1" applyAlignment="1">
      <alignment vertical="center"/>
    </xf>
    <xf numFmtId="0" fontId="46" fillId="83" borderId="0" xfId="0" applyFont="1" applyFill="1" applyAlignment="1">
      <alignment vertical="center"/>
    </xf>
    <xf numFmtId="0" fontId="0" fillId="83" borderId="0" xfId="0" applyFill="1" applyAlignment="1">
      <alignment vertical="center"/>
    </xf>
    <xf numFmtId="0" fontId="0" fillId="77" borderId="0" xfId="0" applyFill="1" applyAlignment="1">
      <alignment vertical="center"/>
    </xf>
    <xf numFmtId="0" fontId="235" fillId="77" borderId="0" xfId="0" applyFont="1" applyFill="1" applyBorder="1"/>
    <xf numFmtId="0" fontId="235" fillId="77" borderId="0" xfId="0" applyFont="1" applyFill="1"/>
    <xf numFmtId="0" fontId="43" fillId="77" borderId="51" xfId="0" applyFont="1" applyFill="1" applyBorder="1" applyAlignment="1">
      <alignment vertical="center" wrapText="1"/>
    </xf>
    <xf numFmtId="0" fontId="43" fillId="77" borderId="11" xfId="0" applyFont="1" applyFill="1" applyBorder="1" applyAlignment="1">
      <alignment vertical="center" wrapText="1"/>
    </xf>
    <xf numFmtId="0" fontId="43" fillId="77" borderId="11" xfId="0" applyFont="1" applyFill="1" applyBorder="1" applyAlignment="1">
      <alignment vertical="center"/>
    </xf>
    <xf numFmtId="0" fontId="43" fillId="77" borderId="11" xfId="0" applyFont="1" applyFill="1" applyBorder="1" applyAlignment="1">
      <alignment vertical="center"/>
    </xf>
    <xf numFmtId="0" fontId="43" fillId="77" borderId="11" xfId="0" applyFont="1" applyFill="1" applyBorder="1" applyAlignment="1">
      <alignment vertical="center" wrapText="1"/>
    </xf>
    <xf numFmtId="0" fontId="234" fillId="77" borderId="26" xfId="89" applyFont="1" applyFill="1" applyBorder="1" applyAlignment="1">
      <alignment vertical="center"/>
    </xf>
    <xf numFmtId="0" fontId="43" fillId="77" borderId="26" xfId="0" applyFont="1" applyFill="1" applyBorder="1" applyAlignment="1">
      <alignment vertical="top" wrapText="1"/>
    </xf>
    <xf numFmtId="0" fontId="235" fillId="77" borderId="0" xfId="0" applyFont="1" applyFill="1" applyAlignment="1">
      <alignment horizontal="left"/>
    </xf>
    <xf numFmtId="8" fontId="89" fillId="77" borderId="55" xfId="0" applyNumberFormat="1" applyFont="1" applyFill="1" applyBorder="1" applyAlignment="1">
      <alignment horizontal="center"/>
    </xf>
    <xf numFmtId="8" fontId="89" fillId="77" borderId="56" xfId="0" applyNumberFormat="1" applyFont="1" applyFill="1" applyBorder="1" applyAlignment="1">
      <alignment horizontal="center"/>
    </xf>
    <xf numFmtId="172" fontId="43" fillId="77" borderId="51" xfId="0" applyNumberFormat="1" applyFont="1" applyFill="1" applyBorder="1" applyAlignment="1" applyProtection="1">
      <alignment horizontal="center"/>
      <protection/>
    </xf>
    <xf numFmtId="288" fontId="39" fillId="77" borderId="20" xfId="0" applyNumberFormat="1" applyFont="1" applyFill="1" applyBorder="1" applyAlignment="1" applyProtection="1">
      <alignment horizontal="center"/>
      <protection/>
    </xf>
    <xf numFmtId="288" fontId="43" fillId="77" borderId="51" xfId="0" applyNumberFormat="1" applyFont="1" applyFill="1" applyBorder="1" applyAlignment="1" applyProtection="1">
      <alignment horizontal="center"/>
      <protection/>
    </xf>
    <xf numFmtId="172" fontId="43" fillId="77" borderId="93" xfId="0" applyNumberFormat="1" applyFont="1" applyFill="1" applyBorder="1" applyAlignment="1" applyProtection="1">
      <alignment horizontal="center"/>
      <protection/>
    </xf>
    <xf numFmtId="288" fontId="39" fillId="77" borderId="87" xfId="0" applyNumberFormat="1" applyFont="1" applyFill="1" applyBorder="1" applyAlignment="1" applyProtection="1">
      <alignment horizontal="center"/>
      <protection/>
    </xf>
    <xf numFmtId="288" fontId="43" fillId="77" borderId="93" xfId="0" applyNumberFormat="1" applyFont="1" applyFill="1" applyBorder="1" applyAlignment="1" applyProtection="1">
      <alignment horizontal="center"/>
      <protection/>
    </xf>
    <xf numFmtId="172" fontId="43" fillId="77" borderId="66" xfId="0" applyNumberFormat="1" applyFont="1" applyFill="1" applyBorder="1" applyAlignment="1" applyProtection="1">
      <alignment horizontal="center"/>
      <protection/>
    </xf>
    <xf numFmtId="288" fontId="39" fillId="77" borderId="92" xfId="0" applyNumberFormat="1" applyFont="1" applyFill="1" applyBorder="1" applyAlignment="1" applyProtection="1">
      <alignment horizontal="center"/>
      <protection/>
    </xf>
    <xf numFmtId="288" fontId="43" fillId="77" borderId="66" xfId="0" applyNumberFormat="1" applyFont="1" applyFill="1" applyBorder="1" applyAlignment="1" applyProtection="1">
      <alignment horizontal="center"/>
      <protection/>
    </xf>
    <xf numFmtId="0" fontId="55" fillId="77" borderId="0" xfId="0" applyFont="1" applyFill="1" applyBorder="1" applyAlignment="1">
      <alignment horizontal="left" vertical="top"/>
    </xf>
    <xf numFmtId="0" fontId="12" fillId="49" borderId="9" xfId="0" applyFont="1" applyFill="1" applyBorder="1" applyAlignment="1">
      <alignment horizontal="left" vertical="top" wrapText="1"/>
    </xf>
    <xf numFmtId="0" fontId="235" fillId="77" borderId="0" xfId="0" applyFont="1" applyFill="1" applyAlignment="1">
      <alignment/>
    </xf>
    <xf numFmtId="0" fontId="42" fillId="83" borderId="0" xfId="0" applyFont="1" applyFill="1"/>
    <xf numFmtId="0" fontId="0" fillId="77" borderId="0" xfId="0" applyFill="1" applyAlignment="1">
      <alignment wrapText="1"/>
    </xf>
    <xf numFmtId="0" fontId="50" fillId="78" borderId="51" xfId="0" applyFont="1" applyFill="1" applyBorder="1" applyAlignment="1">
      <alignment horizontal="center" vertical="center" wrapText="1"/>
    </xf>
    <xf numFmtId="0" fontId="42" fillId="77" borderId="28" xfId="0" applyFont="1" applyFill="1" applyBorder="1" applyAlignment="1">
      <alignment wrapText="1"/>
    </xf>
    <xf numFmtId="0" fontId="46" fillId="77" borderId="15" xfId="0" applyFont="1" applyFill="1" applyBorder="1" applyAlignment="1">
      <alignment wrapText="1"/>
    </xf>
    <xf numFmtId="0" fontId="89" fillId="77" borderId="0" xfId="0" applyFont="1" applyFill="1" applyBorder="1" applyAlignment="1">
      <alignment/>
    </xf>
    <xf numFmtId="0" fontId="0" fillId="77" borderId="0" xfId="0" applyFill="1" applyBorder="1" applyAlignment="1">
      <alignment/>
    </xf>
    <xf numFmtId="0" fontId="0" fillId="77" borderId="19" xfId="0" applyFill="1" applyBorder="1" applyAlignment="1">
      <alignment/>
    </xf>
    <xf numFmtId="0" fontId="46" fillId="77" borderId="53" xfId="0" applyFont="1" applyFill="1" applyBorder="1" applyAlignment="1">
      <alignment wrapText="1"/>
    </xf>
    <xf numFmtId="0" fontId="89" fillId="77" borderId="16" xfId="0" applyFont="1" applyFill="1" applyBorder="1" applyAlignment="1">
      <alignment/>
    </xf>
    <xf numFmtId="0" fontId="0" fillId="77" borderId="16" xfId="0" applyFill="1" applyBorder="1" applyAlignment="1">
      <alignment/>
    </xf>
    <xf numFmtId="0" fontId="0" fillId="77" borderId="78" xfId="0" applyFill="1" applyBorder="1" applyAlignment="1">
      <alignment/>
    </xf>
    <xf numFmtId="0" fontId="42" fillId="77" borderId="68" xfId="0" applyFont="1" applyFill="1" applyBorder="1" applyAlignment="1">
      <alignment wrapText="1"/>
    </xf>
    <xf numFmtId="0" fontId="0" fillId="77" borderId="28" xfId="0" applyFill="1" applyBorder="1" applyAlignment="1">
      <alignment wrapText="1"/>
    </xf>
    <xf numFmtId="0" fontId="0" fillId="77" borderId="20" xfId="0" applyFill="1" applyBorder="1" applyAlignment="1">
      <alignment/>
    </xf>
    <xf numFmtId="0" fontId="0" fillId="77" borderId="60" xfId="0" applyFill="1" applyBorder="1" applyAlignment="1">
      <alignment/>
    </xf>
    <xf numFmtId="0" fontId="42" fillId="77" borderId="15" xfId="0" applyFont="1" applyFill="1" applyBorder="1" applyAlignment="1">
      <alignment wrapText="1"/>
    </xf>
    <xf numFmtId="0" fontId="46" fillId="77" borderId="0" xfId="0" applyFont="1" applyFill="1" applyBorder="1" applyAlignment="1">
      <alignment/>
    </xf>
    <xf numFmtId="0" fontId="0" fillId="77" borderId="53" xfId="0" applyFill="1" applyBorder="1" applyAlignment="1">
      <alignment wrapText="1"/>
    </xf>
    <xf numFmtId="0" fontId="46" fillId="77" borderId="20" xfId="0" applyFont="1" applyFill="1" applyBorder="1" applyAlignment="1">
      <alignment vertical="center"/>
    </xf>
    <xf numFmtId="0" fontId="236" fillId="77" borderId="28" xfId="0" applyFont="1" applyFill="1" applyBorder="1" applyAlignment="1">
      <alignment vertical="center" wrapText="1"/>
    </xf>
    <xf numFmtId="0" fontId="0" fillId="77" borderId="15" xfId="0" applyFill="1" applyBorder="1" applyAlignment="1">
      <alignment wrapText="1"/>
    </xf>
    <xf numFmtId="0" fontId="6" fillId="77" borderId="0" xfId="0" applyFont="1" applyFill="1" applyBorder="1" applyAlignment="1">
      <alignment/>
    </xf>
    <xf numFmtId="0" fontId="236" fillId="77" borderId="53" xfId="0" applyFont="1" applyFill="1" applyBorder="1" applyAlignment="1">
      <alignment vertical="center" wrapText="1"/>
    </xf>
    <xf numFmtId="0" fontId="46" fillId="77" borderId="30" xfId="0" applyFont="1" applyFill="1" applyBorder="1" applyAlignment="1">
      <alignment/>
    </xf>
    <xf numFmtId="0" fontId="0" fillId="77" borderId="30" xfId="0" applyFill="1" applyBorder="1" applyAlignment="1">
      <alignment/>
    </xf>
    <xf numFmtId="0" fontId="0" fillId="77" borderId="69" xfId="0" applyFill="1" applyBorder="1" applyAlignment="1">
      <alignment/>
    </xf>
    <xf numFmtId="10" fontId="39" fillId="0" borderId="64" xfId="0" applyNumberFormat="1" applyFont="1" applyFill="1" applyBorder="1" applyAlignment="1" applyProtection="1">
      <alignment horizontal="center"/>
      <protection locked="0"/>
    </xf>
    <xf numFmtId="0" fontId="220" fillId="77" borderId="0" xfId="0" applyFont="1" applyFill="1" applyBorder="1" applyAlignment="1">
      <alignment horizontal="left" vertical="center"/>
    </xf>
    <xf numFmtId="169" fontId="210" fillId="77" borderId="0" xfId="16" applyFont="1" applyFill="1" applyBorder="1" applyAlignment="1">
      <alignment horizontal="left" vertical="center"/>
    </xf>
    <xf numFmtId="169" fontId="210" fillId="28" borderId="63" xfId="16" applyFont="1" applyFill="1" applyBorder="1" applyAlignment="1">
      <alignment horizontal="left" vertical="center"/>
    </xf>
    <xf numFmtId="0" fontId="12" fillId="77" borderId="0" xfId="0" applyFont="1" applyFill="1" applyBorder="1" applyAlignment="1">
      <alignment/>
    </xf>
    <xf numFmtId="0" fontId="46" fillId="77" borderId="0" xfId="0" applyFont="1" applyFill="1" applyBorder="1" applyAlignment="1">
      <alignment horizontal="center"/>
    </xf>
    <xf numFmtId="0" fontId="46" fillId="77" borderId="0" xfId="0" applyFont="1" applyFill="1" applyBorder="1" applyAlignment="1">
      <alignment horizontal="left" wrapText="1"/>
    </xf>
    <xf numFmtId="181" fontId="210" fillId="77" borderId="0" xfId="18" applyNumberFormat="1" applyFont="1" applyFill="1" applyBorder="1" applyAlignment="1">
      <alignment horizontal="left" vertical="center"/>
    </xf>
    <xf numFmtId="0" fontId="46" fillId="77" borderId="0" xfId="0" applyFont="1" applyFill="1" applyBorder="1" applyAlignment="1">
      <alignment wrapText="1"/>
    </xf>
    <xf numFmtId="0" fontId="89" fillId="77" borderId="0" xfId="0" applyFont="1" applyFill="1" applyBorder="1" applyAlignment="1">
      <alignment horizontal="left" vertical="center"/>
    </xf>
    <xf numFmtId="9" fontId="70" fillId="78" borderId="50" xfId="5167" applyNumberFormat="1" applyFont="1" applyFill="1" applyBorder="1" applyAlignment="1">
      <alignment horizontal="center" vertical="center" wrapText="1"/>
      <protection/>
    </xf>
    <xf numFmtId="0" fontId="5" fillId="28" borderId="50" xfId="0" applyFont="1" applyFill="1" applyBorder="1" applyProtection="1">
      <protection locked="0"/>
    </xf>
    <xf numFmtId="17" fontId="5" fillId="28" borderId="50" xfId="0" applyNumberFormat="1" applyFont="1" applyFill="1" applyBorder="1"/>
    <xf numFmtId="175" fontId="239" fillId="77" borderId="0" xfId="5167" applyNumberFormat="1" applyFont="1" applyFill="1" applyBorder="1" applyAlignment="1">
      <alignment vertical="center"/>
      <protection/>
    </xf>
    <xf numFmtId="175" fontId="240" fillId="77" borderId="0" xfId="5167" applyNumberFormat="1" applyFont="1" applyFill="1" applyBorder="1" applyAlignment="1">
      <alignment vertical="center"/>
      <protection/>
    </xf>
    <xf numFmtId="0" fontId="12" fillId="28" borderId="0" xfId="0" applyFont="1" applyFill="1"/>
    <xf numFmtId="10" fontId="43" fillId="0" borderId="64" xfId="0" applyNumberFormat="1" applyFont="1" applyFill="1" applyBorder="1" applyAlignment="1" applyProtection="1">
      <alignment horizontal="center"/>
      <protection locked="0"/>
    </xf>
    <xf numFmtId="9" fontId="70" fillId="78" borderId="50" xfId="5167" applyNumberFormat="1" applyFont="1" applyFill="1" applyBorder="1" applyAlignment="1">
      <alignment horizontal="center" vertical="center" wrapText="1"/>
      <protection/>
    </xf>
    <xf numFmtId="0" fontId="5" fillId="28" borderId="50" xfId="0" applyFont="1" applyFill="1" applyBorder="1" applyAlignment="1" applyProtection="1">
      <alignment horizontal="center"/>
      <protection locked="0"/>
    </xf>
    <xf numFmtId="40" fontId="242" fillId="28" borderId="50" xfId="0" applyNumberFormat="1" applyFont="1" applyFill="1" applyBorder="1" applyAlignment="1" applyProtection="1" quotePrefix="1">
      <alignment horizontal="center"/>
      <protection locked="0"/>
    </xf>
    <xf numFmtId="40" fontId="243" fillId="28" borderId="50" xfId="0" applyNumberFormat="1" applyFont="1" applyFill="1" applyBorder="1" applyAlignment="1" applyProtection="1">
      <alignment horizontal="center"/>
      <protection locked="0"/>
    </xf>
    <xf numFmtId="40" fontId="5" fillId="28" borderId="50" xfId="0" applyNumberFormat="1" applyFont="1" applyFill="1" applyBorder="1" applyAlignment="1" applyProtection="1" quotePrefix="1">
      <alignment horizontal="center"/>
      <protection locked="0"/>
    </xf>
    <xf numFmtId="17" fontId="4" fillId="28" borderId="50" xfId="0" applyNumberFormat="1" applyFont="1" applyFill="1" applyBorder="1"/>
    <xf numFmtId="0" fontId="4" fillId="28" borderId="50" xfId="0" applyFont="1" applyFill="1" applyBorder="1" applyProtection="1">
      <protection locked="0"/>
    </xf>
    <xf numFmtId="9" fontId="70" fillId="78" borderId="50" xfId="5167" applyNumberFormat="1" applyFont="1" applyFill="1" applyBorder="1" applyAlignment="1">
      <alignment horizontal="center" vertical="center" wrapText="1"/>
      <protection/>
    </xf>
    <xf numFmtId="0" fontId="0" fillId="28" borderId="9" xfId="0" applyFill="1" applyBorder="1" applyAlignment="1">
      <alignment vertical="top"/>
    </xf>
    <xf numFmtId="3" fontId="0" fillId="28" borderId="77" xfId="0" applyNumberFormat="1" applyFill="1" applyBorder="1" applyAlignment="1">
      <alignment vertical="top"/>
    </xf>
    <xf numFmtId="3" fontId="0" fillId="28" borderId="50" xfId="0" applyNumberFormat="1" applyFill="1" applyBorder="1" applyAlignment="1">
      <alignment vertical="top"/>
    </xf>
    <xf numFmtId="3" fontId="0" fillId="28" borderId="52" xfId="0" applyNumberFormat="1" applyFill="1" applyBorder="1" applyAlignment="1">
      <alignment vertical="top"/>
    </xf>
    <xf numFmtId="3" fontId="0" fillId="28" borderId="9" xfId="0" applyNumberFormat="1" applyFill="1" applyBorder="1" applyAlignment="1">
      <alignment vertical="top"/>
    </xf>
    <xf numFmtId="3" fontId="46" fillId="28" borderId="9" xfId="0" applyNumberFormat="1" applyFont="1" applyFill="1" applyBorder="1" applyAlignment="1" applyProtection="1">
      <alignment horizontal="center"/>
      <protection locked="0"/>
    </xf>
    <xf numFmtId="0" fontId="39" fillId="28" borderId="9" xfId="0" applyFont="1" applyFill="1" applyBorder="1" applyAlignment="1" applyProtection="1">
      <alignment horizontal="center"/>
      <protection locked="0"/>
    </xf>
    <xf numFmtId="38" fontId="46" fillId="28" borderId="9" xfId="0" applyNumberFormat="1" applyFont="1" applyFill="1" applyBorder="1" applyAlignment="1" applyProtection="1">
      <alignment horizontal="center"/>
      <protection locked="0"/>
    </xf>
    <xf numFmtId="0" fontId="0" fillId="77" borderId="9" xfId="0" applyFill="1" applyBorder="1"/>
    <xf numFmtId="181" fontId="0" fillId="77" borderId="9" xfId="18" applyNumberFormat="1" applyFont="1" applyFill="1" applyBorder="1"/>
    <xf numFmtId="0" fontId="0" fillId="77" borderId="9" xfId="15" applyNumberFormat="1" applyFont="1" applyFill="1" applyBorder="1"/>
    <xf numFmtId="10" fontId="0" fillId="77" borderId="9" xfId="15" applyNumberFormat="1" applyFont="1" applyFill="1" applyBorder="1"/>
    <xf numFmtId="43" fontId="0" fillId="77" borderId="9" xfId="0" applyNumberFormat="1" applyFill="1" applyBorder="1"/>
    <xf numFmtId="3" fontId="43" fillId="77" borderId="0" xfId="0" applyNumberFormat="1" applyFont="1" applyFill="1" applyAlignment="1" applyProtection="1">
      <alignment horizontal="center" vertical="center"/>
      <protection locked="0"/>
    </xf>
    <xf numFmtId="3" fontId="212" fillId="77" borderId="0" xfId="0" applyNumberFormat="1" applyFont="1" applyFill="1" applyAlignment="1" applyProtection="1">
      <alignment horizontal="center" vertical="center"/>
      <protection locked="0"/>
    </xf>
    <xf numFmtId="3" fontId="7" fillId="77" borderId="0" xfId="0" applyNumberFormat="1" applyFont="1" applyFill="1" applyAlignment="1" applyProtection="1">
      <alignment vertical="center" wrapText="1"/>
      <protection locked="0"/>
    </xf>
    <xf numFmtId="3" fontId="43" fillId="77" borderId="0" xfId="0" applyNumberFormat="1" applyFont="1" applyFill="1" applyAlignment="1" applyProtection="1">
      <alignment vertical="center"/>
      <protection locked="0"/>
    </xf>
    <xf numFmtId="3" fontId="47" fillId="77" borderId="0" xfId="0" applyNumberFormat="1" applyFont="1" applyFill="1" applyAlignment="1" applyProtection="1">
      <alignment vertical="center"/>
      <protection locked="0"/>
    </xf>
    <xf numFmtId="3" fontId="43" fillId="77" borderId="0" xfId="0" applyNumberFormat="1" applyFont="1" applyFill="1" applyAlignment="1" applyProtection="1">
      <alignment horizontal="left" vertical="center"/>
      <protection locked="0"/>
    </xf>
    <xf numFmtId="3" fontId="47" fillId="77" borderId="0" xfId="0" applyNumberFormat="1" applyFont="1" applyFill="1" applyAlignment="1" applyProtection="1">
      <alignment horizontal="center" vertical="center"/>
      <protection locked="0"/>
    </xf>
    <xf numFmtId="3" fontId="208" fillId="77" borderId="0" xfId="0" applyNumberFormat="1" applyFont="1" applyFill="1" applyAlignment="1" applyProtection="1">
      <alignment horizontal="center" vertical="center"/>
      <protection locked="0"/>
    </xf>
    <xf numFmtId="3" fontId="7" fillId="77" borderId="0" xfId="0" applyNumberFormat="1" applyFont="1" applyFill="1" applyAlignment="1" applyProtection="1">
      <alignment horizontal="center" vertical="center"/>
      <protection locked="0"/>
    </xf>
    <xf numFmtId="10" fontId="39" fillId="28" borderId="0" xfId="0" applyNumberFormat="1" applyFont="1" applyFill="1" applyAlignment="1" applyProtection="1">
      <alignment horizontal="center" vertical="center"/>
      <protection locked="0"/>
    </xf>
    <xf numFmtId="10" fontId="208" fillId="77" borderId="0" xfId="0" applyNumberFormat="1" applyFont="1" applyFill="1" applyAlignment="1">
      <alignment horizontal="center" vertical="center"/>
    </xf>
    <xf numFmtId="10" fontId="39" fillId="77" borderId="0" xfId="0" applyNumberFormat="1" applyFont="1" applyFill="1" applyAlignment="1" applyProtection="1">
      <alignment horizontal="center" vertical="center"/>
      <protection locked="0"/>
    </xf>
    <xf numFmtId="10" fontId="40" fillId="77" borderId="0" xfId="0" applyNumberFormat="1" applyFont="1" applyFill="1" applyAlignment="1" applyProtection="1">
      <alignment horizontal="center" vertical="center"/>
      <protection locked="0"/>
    </xf>
    <xf numFmtId="10" fontId="47" fillId="77" borderId="0" xfId="0" applyNumberFormat="1" applyFont="1" applyFill="1" applyAlignment="1" applyProtection="1">
      <alignment horizontal="center" vertical="center"/>
      <protection locked="0"/>
    </xf>
    <xf numFmtId="10" fontId="39" fillId="28" borderId="0" xfId="15" applyNumberFormat="1" applyFont="1" applyFill="1" applyAlignment="1" applyProtection="1">
      <alignment horizontal="center" vertical="center"/>
      <protection locked="0"/>
    </xf>
    <xf numFmtId="10" fontId="39" fillId="77" borderId="0" xfId="15" applyNumberFormat="1" applyFont="1" applyFill="1" applyAlignment="1" applyProtection="1">
      <alignment horizontal="center" vertical="center"/>
      <protection locked="0"/>
    </xf>
    <xf numFmtId="10" fontId="1" fillId="77" borderId="0" xfId="15" applyNumberFormat="1" applyFont="1" applyFill="1" applyAlignment="1" applyProtection="1">
      <alignment horizontal="center" vertical="center"/>
      <protection locked="0"/>
    </xf>
    <xf numFmtId="10" fontId="43" fillId="77" borderId="0" xfId="15" applyNumberFormat="1" applyFont="1" applyFill="1" applyAlignment="1" applyProtection="1">
      <alignment horizontal="center" vertical="center"/>
      <protection locked="0"/>
    </xf>
    <xf numFmtId="10" fontId="43" fillId="77" borderId="0" xfId="0" applyNumberFormat="1" applyFont="1" applyFill="1" applyAlignment="1" applyProtection="1">
      <alignment horizontal="center" vertical="center" wrapText="1"/>
      <protection locked="0"/>
    </xf>
    <xf numFmtId="10" fontId="208" fillId="77" borderId="0" xfId="0" applyNumberFormat="1" applyFont="1" applyFill="1" applyAlignment="1" applyProtection="1">
      <alignment horizontal="center" vertical="center" wrapText="1"/>
      <protection locked="0"/>
    </xf>
    <xf numFmtId="10" fontId="1" fillId="77" borderId="0" xfId="0" applyNumberFormat="1" applyFont="1" applyFill="1" applyAlignment="1" applyProtection="1">
      <alignment vertical="center"/>
      <protection locked="0"/>
    </xf>
    <xf numFmtId="10" fontId="43" fillId="77" borderId="0" xfId="0" applyNumberFormat="1" applyFont="1" applyFill="1" applyAlignment="1" applyProtection="1">
      <alignment horizontal="center" vertical="center"/>
      <protection locked="0"/>
    </xf>
    <xf numFmtId="10" fontId="1" fillId="77" borderId="0" xfId="0" applyNumberFormat="1" applyFont="1" applyFill="1" applyAlignment="1" applyProtection="1">
      <alignment horizontal="center" vertical="center"/>
      <protection locked="0"/>
    </xf>
    <xf numFmtId="10" fontId="209" fillId="77" borderId="0" xfId="0" applyNumberFormat="1" applyFont="1" applyFill="1" applyAlignment="1" applyProtection="1">
      <alignment horizontal="center" vertical="center"/>
      <protection locked="0"/>
    </xf>
    <xf numFmtId="9" fontId="39" fillId="28" borderId="0" xfId="0" applyNumberFormat="1" applyFont="1" applyFill="1" applyAlignment="1" applyProtection="1">
      <alignment horizontal="center" vertical="center"/>
      <protection locked="0"/>
    </xf>
    <xf numFmtId="9" fontId="39" fillId="28" borderId="0" xfId="0" applyNumberFormat="1" applyFont="1" applyFill="1" applyAlignment="1">
      <alignment horizontal="center" vertical="center"/>
    </xf>
    <xf numFmtId="10" fontId="1" fillId="28" borderId="0" xfId="0" applyNumberFormat="1" applyFont="1" applyFill="1" applyAlignment="1" applyProtection="1">
      <alignment horizontal="center" vertical="center"/>
      <protection locked="0"/>
    </xf>
    <xf numFmtId="9" fontId="39" fillId="28" borderId="0" xfId="0" applyNumberFormat="1" applyFont="1" applyFill="1" applyAlignment="1">
      <alignment horizontal="center"/>
    </xf>
    <xf numFmtId="9" fontId="39" fillId="28" borderId="0" xfId="15" applyFont="1" applyFill="1" applyAlignment="1" applyProtection="1">
      <alignment horizontal="center" vertical="center"/>
      <protection locked="0"/>
    </xf>
    <xf numFmtId="9" fontId="43" fillId="28" borderId="0" xfId="15" applyFont="1" applyFill="1" applyAlignment="1">
      <alignment vertical="top"/>
    </xf>
    <xf numFmtId="10" fontId="208" fillId="77" borderId="0" xfId="0" applyNumberFormat="1" applyFont="1" applyFill="1" applyAlignment="1" applyProtection="1">
      <alignment horizontal="center" vertical="center"/>
      <protection locked="0"/>
    </xf>
    <xf numFmtId="0" fontId="89" fillId="84" borderId="0" xfId="0" applyFont="1" applyFill="1" applyBorder="1" applyAlignment="1" applyProtection="1">
      <alignment vertical="top" wrapText="1"/>
      <protection locked="0"/>
    </xf>
    <xf numFmtId="10" fontId="39" fillId="84" borderId="0" xfId="0" applyNumberFormat="1" applyFont="1" applyFill="1" applyAlignment="1" applyProtection="1">
      <alignment horizontal="center" vertical="center"/>
      <protection locked="0"/>
    </xf>
    <xf numFmtId="10" fontId="39" fillId="84" borderId="0" xfId="15" applyNumberFormat="1" applyFont="1" applyFill="1" applyBorder="1" applyAlignment="1" applyProtection="1">
      <alignment horizontal="center" vertical="center"/>
      <protection locked="0"/>
    </xf>
    <xf numFmtId="0" fontId="0" fillId="26" borderId="9" xfId="0" applyFill="1" applyBorder="1" applyAlignment="1">
      <alignment wrapText="1"/>
    </xf>
    <xf numFmtId="0" fontId="0" fillId="26" borderId="26" xfId="0" applyFill="1" applyBorder="1"/>
    <xf numFmtId="0" fontId="0" fillId="35" borderId="26" xfId="0" applyFill="1" applyBorder="1"/>
    <xf numFmtId="0" fontId="0" fillId="35" borderId="9" xfId="0" applyFill="1" applyBorder="1"/>
    <xf numFmtId="0" fontId="0" fillId="31" borderId="0" xfId="0" applyFill="1"/>
    <xf numFmtId="0" fontId="0" fillId="31" borderId="9" xfId="0" applyFill="1" applyBorder="1"/>
    <xf numFmtId="0" fontId="0" fillId="85" borderId="9" xfId="0" applyFill="1" applyBorder="1"/>
    <xf numFmtId="0" fontId="0" fillId="43" borderId="9" xfId="0" applyFill="1" applyBorder="1"/>
    <xf numFmtId="0" fontId="0" fillId="0" borderId="16" xfId="0" applyBorder="1"/>
    <xf numFmtId="0" fontId="0" fillId="34" borderId="0" xfId="0" applyFill="1"/>
    <xf numFmtId="0" fontId="0" fillId="34" borderId="9" xfId="0" applyFill="1" applyBorder="1"/>
    <xf numFmtId="0" fontId="89" fillId="0" borderId="0" xfId="9788">
      <alignment/>
      <protection/>
    </xf>
    <xf numFmtId="40" fontId="5" fillId="28" borderId="50" xfId="0" applyNumberFormat="1" applyFont="1" applyFill="1" applyBorder="1" applyAlignment="1" applyProtection="1">
      <alignment horizontal="center"/>
      <protection locked="0"/>
    </xf>
    <xf numFmtId="10" fontId="5" fillId="28" borderId="50" xfId="0" applyNumberFormat="1" applyFont="1" applyFill="1" applyBorder="1" applyProtection="1">
      <protection locked="0"/>
    </xf>
    <xf numFmtId="17" fontId="0" fillId="0" borderId="0" xfId="0" applyNumberFormat="1"/>
    <xf numFmtId="43" fontId="0" fillId="77" borderId="0" xfId="18" applyNumberFormat="1" applyFont="1" applyFill="1"/>
    <xf numFmtId="43" fontId="221" fillId="77" borderId="0" xfId="18" applyNumberFormat="1" applyFont="1" applyFill="1" applyAlignment="1">
      <alignment horizontal="center" wrapText="1"/>
    </xf>
    <xf numFmtId="43" fontId="0" fillId="83" borderId="0" xfId="18" applyNumberFormat="1" applyFont="1" applyFill="1" applyAlignment="1">
      <alignment vertical="center"/>
    </xf>
    <xf numFmtId="43" fontId="240" fillId="77" borderId="0" xfId="18" applyNumberFormat="1" applyFont="1" applyFill="1" applyBorder="1" applyAlignment="1">
      <alignment vertical="center"/>
    </xf>
    <xf numFmtId="43" fontId="70" fillId="78" borderId="50" xfId="18" applyNumberFormat="1" applyFont="1" applyFill="1" applyBorder="1" applyAlignment="1">
      <alignment horizontal="center" vertical="center" wrapText="1"/>
    </xf>
    <xf numFmtId="43" fontId="5" fillId="28" borderId="50" xfId="18" applyNumberFormat="1" applyFont="1" applyFill="1" applyBorder="1" applyProtection="1">
      <protection locked="0"/>
    </xf>
    <xf numFmtId="43" fontId="4" fillId="28" borderId="50" xfId="18" applyNumberFormat="1" applyFont="1" applyFill="1" applyBorder="1" applyProtection="1" quotePrefix="1">
      <protection locked="0"/>
    </xf>
    <xf numFmtId="3" fontId="40" fillId="84" borderId="75" xfId="0" applyNumberFormat="1" applyFont="1" applyFill="1" applyBorder="1" applyAlignment="1" applyProtection="1">
      <alignment horizontal="center" vertical="center"/>
      <protection locked="0"/>
    </xf>
    <xf numFmtId="3" fontId="43" fillId="84" borderId="0" xfId="0" applyNumberFormat="1" applyFont="1" applyFill="1" applyBorder="1" applyAlignment="1" applyProtection="1">
      <alignment horizontal="center" vertical="center"/>
      <protection locked="0"/>
    </xf>
    <xf numFmtId="3" fontId="43" fillId="84" borderId="16" xfId="0" applyNumberFormat="1" applyFont="1" applyFill="1" applyBorder="1" applyAlignment="1" applyProtection="1">
      <alignment horizontal="center" vertical="center"/>
      <protection locked="0"/>
    </xf>
    <xf numFmtId="0" fontId="210" fillId="84" borderId="63" xfId="59" applyNumberFormat="1" applyFont="1" applyFill="1" applyBorder="1" applyAlignment="1">
      <alignment horizontal="left" vertical="center"/>
    </xf>
    <xf numFmtId="181" fontId="210" fillId="84" borderId="63" xfId="18" applyNumberFormat="1" applyFont="1" applyFill="1" applyBorder="1" applyAlignment="1">
      <alignment horizontal="left" vertical="center"/>
    </xf>
    <xf numFmtId="40" fontId="5" fillId="84" borderId="50" xfId="0" applyNumberFormat="1" applyFont="1" applyFill="1" applyBorder="1" applyAlignment="1" applyProtection="1">
      <alignment horizontal="center"/>
      <protection locked="0"/>
    </xf>
    <xf numFmtId="8" fontId="0" fillId="77" borderId="0" xfId="0" applyNumberFormat="1" applyFont="1" applyFill="1"/>
    <xf numFmtId="6" fontId="0" fillId="77" borderId="9" xfId="0" applyNumberFormat="1" applyFont="1" applyFill="1" applyBorder="1"/>
    <xf numFmtId="0" fontId="3" fillId="77" borderId="9" xfId="0" applyFont="1" applyFill="1" applyBorder="1"/>
    <xf numFmtId="0" fontId="215" fillId="77" borderId="9" xfId="0" applyFont="1" applyFill="1" applyBorder="1"/>
    <xf numFmtId="0" fontId="0" fillId="0" borderId="94" xfId="0" applyBorder="1" applyAlignment="1">
      <alignment vertical="center" wrapText="1"/>
    </xf>
    <xf numFmtId="0" fontId="0" fillId="0" borderId="95" xfId="0" applyBorder="1" applyAlignment="1">
      <alignment vertical="center" wrapText="1"/>
    </xf>
    <xf numFmtId="0" fontId="0" fillId="0" borderId="96" xfId="0" applyBorder="1" applyAlignment="1">
      <alignment vertical="center" wrapText="1"/>
    </xf>
    <xf numFmtId="0" fontId="3" fillId="86" borderId="97" xfId="0" applyFont="1" applyFill="1" applyBorder="1" applyAlignment="1">
      <alignment horizontal="center" vertical="center" wrapText="1"/>
    </xf>
    <xf numFmtId="0" fontId="244" fillId="86" borderId="94" xfId="0" applyFont="1" applyFill="1" applyBorder="1" applyAlignment="1">
      <alignment horizontal="center" vertical="center" wrapText="1"/>
    </xf>
    <xf numFmtId="0" fontId="0" fillId="0" borderId="98" xfId="0" applyBorder="1" applyAlignment="1">
      <alignment vertical="center" wrapText="1"/>
    </xf>
    <xf numFmtId="8" fontId="0" fillId="0" borderId="95" xfId="0" applyNumberFormat="1" applyBorder="1" applyAlignment="1">
      <alignment horizontal="right" vertical="center" wrapText="1"/>
    </xf>
    <xf numFmtId="0" fontId="1" fillId="0" borderId="99" xfId="0" applyFont="1" applyBorder="1" applyAlignment="1">
      <alignment horizontal="right" vertical="center" wrapText="1"/>
    </xf>
    <xf numFmtId="0" fontId="0" fillId="0" borderId="100" xfId="0" applyBorder="1" applyAlignment="1">
      <alignment horizontal="right" vertical="center" wrapText="1"/>
    </xf>
    <xf numFmtId="173" fontId="45" fillId="77" borderId="9" xfId="0" applyNumberFormat="1" applyFont="1" applyFill="1" applyBorder="1" applyAlignment="1">
      <alignment horizontal="center"/>
    </xf>
    <xf numFmtId="9" fontId="70" fillId="78" borderId="50" xfId="5167" applyNumberFormat="1" applyFont="1" applyFill="1" applyBorder="1" applyAlignment="1">
      <alignment horizontal="center" vertical="center" wrapText="1"/>
      <protection/>
    </xf>
    <xf numFmtId="289" fontId="0" fillId="0" borderId="95" xfId="0" applyNumberFormat="1" applyBorder="1" applyAlignment="1">
      <alignment horizontal="right" vertical="center" wrapText="1"/>
    </xf>
    <xf numFmtId="181" fontId="0" fillId="0" borderId="95" xfId="18" applyNumberFormat="1" applyFont="1" applyBorder="1" applyAlignment="1">
      <alignment horizontal="right" vertical="center" wrapText="1"/>
    </xf>
    <xf numFmtId="181" fontId="1" fillId="0" borderId="95" xfId="18" applyNumberFormat="1" applyFont="1" applyBorder="1" applyAlignment="1">
      <alignment horizontal="right" vertical="center" wrapText="1"/>
    </xf>
    <xf numFmtId="181" fontId="156" fillId="0" borderId="95" xfId="18" applyNumberFormat="1" applyFont="1" applyBorder="1" applyAlignment="1">
      <alignment horizontal="right" vertical="center" wrapText="1"/>
    </xf>
    <xf numFmtId="179" fontId="0" fillId="77" borderId="0" xfId="18" applyNumberFormat="1" applyFont="1" applyFill="1"/>
    <xf numFmtId="181" fontId="0" fillId="77" borderId="0" xfId="18" applyNumberFormat="1" applyFont="1" applyFill="1"/>
    <xf numFmtId="179" fontId="5" fillId="28" borderId="50" xfId="18" applyNumberFormat="1" applyFont="1" applyFill="1" applyBorder="1" applyProtection="1">
      <protection locked="0"/>
    </xf>
    <xf numFmtId="181" fontId="5" fillId="28" borderId="50" xfId="18" applyNumberFormat="1" applyFont="1" applyFill="1" applyBorder="1" applyProtection="1">
      <protection locked="0"/>
    </xf>
    <xf numFmtId="181" fontId="207" fillId="28" borderId="50" xfId="18" applyNumberFormat="1" applyFont="1" applyFill="1" applyBorder="1" applyProtection="1">
      <protection locked="0"/>
    </xf>
    <xf numFmtId="179" fontId="207" fillId="28" borderId="50" xfId="18" applyNumberFormat="1" applyFont="1" applyFill="1" applyBorder="1" applyProtection="1">
      <protection locked="0"/>
    </xf>
    <xf numFmtId="290" fontId="0" fillId="28" borderId="50" xfId="0" applyNumberFormat="1" applyFill="1" applyBorder="1" applyAlignment="1">
      <alignment vertical="top"/>
    </xf>
    <xf numFmtId="3" fontId="89" fillId="77" borderId="0" xfId="0" applyNumberFormat="1" applyFont="1" applyFill="1" applyBorder="1" applyAlignment="1" applyProtection="1">
      <alignment vertical="top" wrapText="1"/>
      <protection locked="0"/>
    </xf>
    <xf numFmtId="237" fontId="39" fillId="28" borderId="0" xfId="0" applyNumberFormat="1" applyFont="1" applyFill="1" applyAlignment="1" applyProtection="1">
      <alignment horizontal="center" vertical="center"/>
      <protection locked="0"/>
    </xf>
    <xf numFmtId="3" fontId="0" fillId="77" borderId="0" xfId="0" applyNumberFormat="1" applyFill="1"/>
    <xf numFmtId="3" fontId="0" fillId="77" borderId="0" xfId="0" applyNumberFormat="1" applyFont="1" applyFill="1"/>
    <xf numFmtId="3" fontId="0" fillId="0" borderId="0" xfId="0" applyNumberFormat="1"/>
    <xf numFmtId="3" fontId="6" fillId="77" borderId="0" xfId="0" applyNumberFormat="1" applyFont="1" applyFill="1"/>
    <xf numFmtId="181" fontId="0" fillId="77" borderId="0" xfId="0" applyNumberFormat="1" applyFill="1"/>
    <xf numFmtId="0" fontId="44" fillId="77" borderId="0" xfId="0" applyFont="1" applyFill="1" applyBorder="1" applyAlignment="1">
      <alignment horizontal="center" vertical="center"/>
    </xf>
    <xf numFmtId="0" fontId="237" fillId="77" borderId="0" xfId="0" applyFont="1" applyFill="1" applyBorder="1" applyAlignment="1">
      <alignment wrapText="1"/>
    </xf>
    <xf numFmtId="0" fontId="237" fillId="77" borderId="19" xfId="0" applyFont="1" applyFill="1" applyBorder="1" applyAlignment="1">
      <alignment wrapText="1"/>
    </xf>
    <xf numFmtId="0" fontId="89" fillId="77" borderId="0" xfId="0" applyFont="1" applyFill="1" applyBorder="1" applyAlignment="1">
      <alignment wrapText="1"/>
    </xf>
    <xf numFmtId="0" fontId="50" fillId="78" borderId="15" xfId="0" applyFont="1" applyFill="1" applyBorder="1" applyAlignment="1">
      <alignment horizontal="center" vertical="center"/>
    </xf>
    <xf numFmtId="0" fontId="50" fillId="78" borderId="0" xfId="0" applyFont="1" applyFill="1" applyBorder="1" applyAlignment="1">
      <alignment horizontal="center" vertical="center"/>
    </xf>
    <xf numFmtId="0" fontId="89" fillId="77" borderId="20" xfId="0" applyFont="1" applyFill="1" applyBorder="1" applyAlignment="1">
      <alignment wrapText="1"/>
    </xf>
    <xf numFmtId="0" fontId="89" fillId="77" borderId="60" xfId="0" applyFont="1" applyFill="1" applyBorder="1" applyAlignment="1">
      <alignment wrapText="1"/>
    </xf>
    <xf numFmtId="0" fontId="89" fillId="77" borderId="19" xfId="0" applyFont="1" applyFill="1" applyBorder="1" applyAlignment="1">
      <alignment wrapText="1"/>
    </xf>
    <xf numFmtId="0" fontId="46" fillId="77" borderId="30" xfId="0" applyFont="1" applyFill="1" applyBorder="1" applyAlignment="1">
      <alignment wrapText="1"/>
    </xf>
    <xf numFmtId="0" fontId="46" fillId="77" borderId="69" xfId="0" applyFont="1" applyFill="1" applyBorder="1" applyAlignment="1">
      <alignment wrapText="1"/>
    </xf>
    <xf numFmtId="0" fontId="46" fillId="77" borderId="20" xfId="0" applyFont="1" applyFill="1" applyBorder="1" applyAlignment="1">
      <alignment wrapText="1"/>
    </xf>
    <xf numFmtId="0" fontId="46" fillId="77" borderId="60" xfId="0" applyFont="1" applyFill="1" applyBorder="1" applyAlignment="1">
      <alignment wrapText="1"/>
    </xf>
    <xf numFmtId="0" fontId="46" fillId="77" borderId="30" xfId="0" applyFont="1" applyFill="1" applyBorder="1" applyAlignment="1">
      <alignment vertical="center" wrapText="1"/>
    </xf>
    <xf numFmtId="0" fontId="46" fillId="77" borderId="69" xfId="0" applyFont="1" applyFill="1" applyBorder="1" applyAlignment="1">
      <alignment vertical="center" wrapText="1"/>
    </xf>
    <xf numFmtId="0" fontId="228" fillId="77" borderId="0" xfId="0" applyFont="1" applyFill="1" applyAlignment="1">
      <alignment horizontal="left"/>
    </xf>
    <xf numFmtId="0" fontId="89" fillId="77" borderId="28" xfId="0" applyFont="1" applyFill="1" applyBorder="1" applyAlignment="1">
      <alignment horizontal="center" wrapText="1"/>
    </xf>
    <xf numFmtId="0" fontId="89" fillId="77" borderId="20" xfId="0" applyFont="1" applyFill="1" applyBorder="1" applyAlignment="1">
      <alignment horizontal="center" wrapText="1"/>
    </xf>
    <xf numFmtId="0" fontId="89" fillId="77" borderId="60" xfId="0" applyFont="1" applyFill="1" applyBorder="1" applyAlignment="1">
      <alignment horizontal="center" wrapText="1"/>
    </xf>
    <xf numFmtId="0" fontId="89" fillId="77" borderId="15" xfId="0" applyFont="1" applyFill="1" applyBorder="1" applyAlignment="1">
      <alignment horizontal="center" wrapText="1"/>
    </xf>
    <xf numFmtId="0" fontId="89" fillId="77" borderId="0" xfId="0" applyFont="1" applyFill="1" applyBorder="1" applyAlignment="1">
      <alignment horizontal="center" wrapText="1"/>
    </xf>
    <xf numFmtId="0" fontId="89" fillId="77" borderId="19" xfId="0" applyFont="1" applyFill="1" applyBorder="1" applyAlignment="1">
      <alignment horizontal="center" wrapText="1"/>
    </xf>
    <xf numFmtId="0" fontId="89" fillId="77" borderId="53" xfId="0" applyFont="1" applyFill="1" applyBorder="1" applyAlignment="1">
      <alignment horizontal="center" wrapText="1"/>
    </xf>
    <xf numFmtId="0" fontId="89" fillId="77" borderId="16" xfId="0" applyFont="1" applyFill="1" applyBorder="1" applyAlignment="1">
      <alignment horizontal="center" wrapText="1"/>
    </xf>
    <xf numFmtId="0" fontId="89" fillId="77" borderId="78" xfId="0" applyFont="1" applyFill="1" applyBorder="1" applyAlignment="1">
      <alignment horizontal="center" wrapText="1"/>
    </xf>
    <xf numFmtId="175" fontId="89" fillId="28" borderId="68" xfId="0" applyNumberFormat="1" applyFont="1" applyFill="1" applyBorder="1" applyAlignment="1">
      <alignment horizontal="left"/>
    </xf>
    <xf numFmtId="175" fontId="89" fillId="28" borderId="69" xfId="0" applyNumberFormat="1" applyFont="1" applyFill="1" applyBorder="1" applyAlignment="1">
      <alignment horizontal="left"/>
    </xf>
    <xf numFmtId="0" fontId="89" fillId="83" borderId="0" xfId="0" applyFont="1" applyFill="1" applyBorder="1" applyAlignment="1">
      <alignment horizontal="left" vertical="center" wrapText="1"/>
    </xf>
    <xf numFmtId="174" fontId="211" fillId="78" borderId="68" xfId="25" applyNumberFormat="1" applyFont="1" applyFill="1" applyBorder="1" applyAlignment="1">
      <alignment horizontal="center" vertical="center" wrapText="1"/>
      <protection/>
    </xf>
    <xf numFmtId="174" fontId="211" fillId="78" borderId="69" xfId="25" applyNumberFormat="1" applyFont="1" applyFill="1" applyBorder="1" applyAlignment="1">
      <alignment horizontal="center" vertical="center" wrapText="1"/>
      <protection/>
    </xf>
    <xf numFmtId="175" fontId="45" fillId="77" borderId="68" xfId="0" applyNumberFormat="1" applyFont="1" applyFill="1" applyBorder="1" applyAlignment="1">
      <alignment horizontal="left"/>
    </xf>
    <xf numFmtId="175" fontId="45" fillId="77" borderId="69" xfId="0" applyNumberFormat="1" applyFont="1" applyFill="1" applyBorder="1" applyAlignment="1">
      <alignment horizontal="left"/>
    </xf>
    <xf numFmtId="0" fontId="3" fillId="0" borderId="101" xfId="0" applyFont="1" applyBorder="1" applyAlignment="1">
      <alignment vertical="center" wrapText="1"/>
    </xf>
    <xf numFmtId="0" fontId="3" fillId="0" borderId="102" xfId="0" applyFont="1" applyBorder="1" applyAlignment="1">
      <alignment vertical="center" wrapText="1"/>
    </xf>
    <xf numFmtId="0" fontId="3" fillId="0" borderId="103" xfId="0" applyFont="1" applyBorder="1" applyAlignment="1">
      <alignment vertical="center" wrapText="1"/>
    </xf>
    <xf numFmtId="0" fontId="3" fillId="0" borderId="104" xfId="0" applyFont="1" applyBorder="1" applyAlignment="1">
      <alignment vertical="center" wrapText="1"/>
    </xf>
    <xf numFmtId="0" fontId="0" fillId="28" borderId="68" xfId="0" applyFill="1" applyBorder="1" applyAlignment="1">
      <alignment horizontal="left" wrapText="1"/>
    </xf>
    <xf numFmtId="0" fontId="0" fillId="28" borderId="69" xfId="0" applyFill="1" applyBorder="1" applyAlignment="1">
      <alignment horizontal="left" wrapText="1"/>
    </xf>
    <xf numFmtId="0" fontId="211" fillId="78" borderId="68" xfId="0" applyFont="1" applyFill="1" applyBorder="1" applyAlignment="1">
      <alignment horizontal="center"/>
    </xf>
    <xf numFmtId="0" fontId="211" fillId="78" borderId="69" xfId="0" applyFont="1" applyFill="1" applyBorder="1" applyAlignment="1">
      <alignment horizontal="center"/>
    </xf>
    <xf numFmtId="0" fontId="0" fillId="28" borderId="68" xfId="0" applyFill="1" applyBorder="1" applyAlignment="1">
      <alignment horizontal="left"/>
    </xf>
    <xf numFmtId="0" fontId="0" fillId="28" borderId="69" xfId="0" applyFill="1" applyBorder="1" applyAlignment="1">
      <alignment horizontal="left"/>
    </xf>
    <xf numFmtId="0" fontId="210" fillId="83" borderId="0" xfId="59" applyNumberFormat="1" applyFont="1" applyFill="1" applyBorder="1" applyAlignment="1" applyProtection="1">
      <alignment horizontal="left" vertical="center" wrapText="1"/>
      <protection locked="0"/>
    </xf>
    <xf numFmtId="0" fontId="42" fillId="77" borderId="0" xfId="0" applyFont="1" applyFill="1" applyBorder="1" applyAlignment="1">
      <alignment horizontal="left" vertical="top"/>
    </xf>
    <xf numFmtId="0" fontId="43" fillId="77" borderId="105" xfId="0" applyFont="1" applyFill="1" applyBorder="1" applyAlignment="1" applyProtection="1">
      <alignment horizontal="center" vertical="center" wrapText="1"/>
      <protection locked="0"/>
    </xf>
    <xf numFmtId="0" fontId="43" fillId="77" borderId="106" xfId="0" applyFont="1" applyFill="1" applyBorder="1" applyAlignment="1" applyProtection="1">
      <alignment horizontal="center" vertical="center" wrapText="1"/>
      <protection locked="0"/>
    </xf>
    <xf numFmtId="0" fontId="43" fillId="77" borderId="107" xfId="0" applyFont="1" applyFill="1" applyBorder="1" applyAlignment="1" applyProtection="1">
      <alignment horizontal="center" vertical="center" wrapText="1"/>
      <protection locked="0"/>
    </xf>
    <xf numFmtId="0" fontId="43" fillId="77" borderId="80" xfId="0" applyFont="1" applyFill="1" applyBorder="1" applyAlignment="1" applyProtection="1">
      <alignment horizontal="center" vertical="center" wrapText="1"/>
      <protection locked="0"/>
    </xf>
    <xf numFmtId="0" fontId="43" fillId="77" borderId="108" xfId="0" applyFont="1" applyFill="1" applyBorder="1" applyAlignment="1" applyProtection="1">
      <alignment horizontal="center" vertical="center" wrapText="1"/>
      <protection locked="0"/>
    </xf>
    <xf numFmtId="178" fontId="210" fillId="83" borderId="89" xfId="59" applyNumberFormat="1" applyFont="1" applyFill="1" applyBorder="1" applyAlignment="1">
      <alignment horizontal="left" vertical="center"/>
    </xf>
    <xf numFmtId="178" fontId="210" fillId="83" borderId="109" xfId="59" applyNumberFormat="1" applyFont="1" applyFill="1" applyBorder="1" applyAlignment="1">
      <alignment horizontal="left" vertical="center"/>
    </xf>
    <xf numFmtId="0" fontId="89" fillId="83" borderId="0" xfId="59" applyNumberFormat="1" applyFont="1" applyFill="1" applyBorder="1" applyAlignment="1">
      <alignment horizontal="left" vertical="center" wrapText="1"/>
    </xf>
    <xf numFmtId="0" fontId="46" fillId="83" borderId="0" xfId="0" applyFont="1" applyFill="1" applyBorder="1" applyAlignment="1">
      <alignment horizontal="left" vertical="center" wrapText="1"/>
    </xf>
    <xf numFmtId="0" fontId="46" fillId="83" borderId="0" xfId="0" applyFont="1" applyFill="1" applyAlignment="1">
      <alignment horizontal="left" vertical="center" wrapText="1"/>
    </xf>
    <xf numFmtId="0" fontId="50" fillId="78" borderId="110" xfId="0" applyNumberFormat="1" applyFont="1" applyFill="1" applyBorder="1" applyAlignment="1" applyProtection="1">
      <alignment horizontal="center" vertical="center" wrapText="1"/>
      <protection locked="0"/>
    </xf>
    <xf numFmtId="0" fontId="50" fillId="78" borderId="111" xfId="0" applyNumberFormat="1" applyFont="1" applyFill="1" applyBorder="1" applyAlignment="1" applyProtection="1">
      <alignment horizontal="center" vertical="center" wrapText="1"/>
      <protection locked="0"/>
    </xf>
    <xf numFmtId="0" fontId="50" fillId="78" borderId="112" xfId="0" applyNumberFormat="1" applyFont="1" applyFill="1" applyBorder="1" applyAlignment="1" applyProtection="1">
      <alignment horizontal="center" vertical="center" wrapText="1"/>
      <protection locked="0"/>
    </xf>
    <xf numFmtId="0" fontId="50" fillId="78" borderId="113" xfId="0" applyNumberFormat="1" applyFont="1" applyFill="1" applyBorder="1" applyAlignment="1" applyProtection="1">
      <alignment horizontal="center" vertical="center" wrapText="1"/>
      <protection locked="0"/>
    </xf>
    <xf numFmtId="0" fontId="50" fillId="78" borderId="114" xfId="0" applyNumberFormat="1" applyFont="1" applyFill="1" applyBorder="1" applyAlignment="1" applyProtection="1">
      <alignment horizontal="center" vertical="center" wrapText="1"/>
      <protection locked="0"/>
    </xf>
    <xf numFmtId="0" fontId="50" fillId="78" borderId="115" xfId="0" applyFont="1" applyFill="1" applyBorder="1" applyAlignment="1" applyProtection="1">
      <alignment horizontal="center" vertical="center" wrapText="1"/>
      <protection locked="0"/>
    </xf>
    <xf numFmtId="0" fontId="50" fillId="78" borderId="116" xfId="0" applyFont="1" applyFill="1" applyBorder="1" applyAlignment="1" applyProtection="1">
      <alignment horizontal="center" vertical="center" wrapText="1"/>
      <protection locked="0"/>
    </xf>
    <xf numFmtId="0" fontId="50" fillId="78" borderId="117" xfId="0" applyNumberFormat="1" applyFont="1" applyFill="1" applyBorder="1" applyAlignment="1" applyProtection="1">
      <alignment horizontal="center" vertical="center" wrapText="1"/>
      <protection locked="0"/>
    </xf>
    <xf numFmtId="0" fontId="50" fillId="78" borderId="118" xfId="0" applyNumberFormat="1" applyFont="1" applyFill="1" applyBorder="1" applyAlignment="1" applyProtection="1">
      <alignment horizontal="center" vertical="center" wrapText="1"/>
      <protection locked="0"/>
    </xf>
    <xf numFmtId="0" fontId="50" fillId="78" borderId="119" xfId="0" applyNumberFormat="1" applyFont="1" applyFill="1" applyBorder="1" applyAlignment="1" applyProtection="1">
      <alignment horizontal="center" vertical="center" wrapText="1"/>
      <protection locked="0"/>
    </xf>
    <xf numFmtId="0" fontId="50" fillId="78" borderId="115" xfId="0" applyNumberFormat="1" applyFont="1" applyFill="1" applyBorder="1" applyAlignment="1" applyProtection="1">
      <alignment horizontal="center" vertical="center" wrapText="1"/>
      <protection locked="0"/>
    </xf>
    <xf numFmtId="0" fontId="50" fillId="78" borderId="120" xfId="0" applyNumberFormat="1" applyFont="1" applyFill="1" applyBorder="1" applyAlignment="1" applyProtection="1">
      <alignment horizontal="center" vertical="center" wrapText="1"/>
      <protection locked="0"/>
    </xf>
    <xf numFmtId="0" fontId="89" fillId="83" borderId="0" xfId="0" applyFont="1" applyFill="1" applyBorder="1" applyAlignment="1" applyProtection="1">
      <alignment horizontal="left" vertical="center" wrapText="1"/>
      <protection locked="0"/>
    </xf>
    <xf numFmtId="0" fontId="42" fillId="77" borderId="0" xfId="0" applyFont="1" applyFill="1" applyBorder="1" applyAlignment="1" applyProtection="1">
      <alignment horizontal="left" vertical="top"/>
      <protection locked="0"/>
    </xf>
    <xf numFmtId="0" fontId="42" fillId="77" borderId="0" xfId="0" applyFont="1" applyFill="1" applyAlignment="1">
      <alignment horizontal="left" vertical="top" wrapText="1"/>
    </xf>
    <xf numFmtId="0" fontId="89" fillId="83" borderId="0" xfId="0" applyFont="1" applyFill="1" applyBorder="1" applyAlignment="1">
      <alignment horizontal="left" wrapText="1"/>
    </xf>
    <xf numFmtId="0" fontId="235" fillId="77" borderId="16" xfId="0" applyFont="1" applyFill="1" applyBorder="1" applyAlignment="1">
      <alignment horizontal="left"/>
    </xf>
    <xf numFmtId="9" fontId="70" fillId="78" borderId="50" xfId="5167" applyNumberFormat="1" applyFont="1" applyFill="1" applyBorder="1" applyAlignment="1">
      <alignment horizontal="center" vertical="center" wrapText="1"/>
      <protection/>
    </xf>
    <xf numFmtId="0" fontId="89" fillId="83" borderId="0" xfId="0" applyFont="1" applyFill="1" applyAlignment="1">
      <alignment horizontal="left" vertical="center" wrapText="1"/>
    </xf>
    <xf numFmtId="17" fontId="0" fillId="0" borderId="51" xfId="0" applyNumberFormat="1" applyBorder="1" applyAlignment="1">
      <alignment horizontal="center" vertical="center"/>
    </xf>
    <xf numFmtId="17" fontId="0" fillId="0" borderId="26" xfId="0" applyNumberFormat="1" applyBorder="1" applyAlignment="1">
      <alignment horizontal="center" vertical="center"/>
    </xf>
    <xf numFmtId="17" fontId="0" fillId="0" borderId="9" xfId="0" applyNumberFormat="1" applyBorder="1" applyAlignment="1">
      <alignment horizontal="center" vertical="center"/>
    </xf>
    <xf numFmtId="0" fontId="0" fillId="0" borderId="0" xfId="0" applyAlignment="1">
      <alignment horizontal="center" wrapText="1"/>
    </xf>
    <xf numFmtId="0" fontId="0" fillId="0" borderId="121" xfId="0" applyBorder="1" applyAlignment="1">
      <alignment horizontal="center"/>
    </xf>
    <xf numFmtId="0" fontId="0" fillId="0" borderId="29" xfId="0" applyBorder="1" applyAlignment="1">
      <alignment horizontal="center"/>
    </xf>
    <xf numFmtId="0" fontId="0" fillId="0" borderId="94" xfId="0" applyBorder="1" applyAlignment="1">
      <alignment horizontal="center"/>
    </xf>
    <xf numFmtId="0" fontId="0" fillId="0" borderId="122" xfId="0" applyBorder="1" applyAlignment="1">
      <alignment horizontal="center"/>
    </xf>
    <xf numFmtId="0" fontId="0" fillId="0" borderId="123" xfId="0" applyBorder="1" applyAlignment="1">
      <alignment horizontal="center"/>
    </xf>
    <xf numFmtId="0" fontId="0" fillId="0" borderId="124" xfId="0" applyBorder="1" applyAlignment="1">
      <alignment horizontal="center"/>
    </xf>
  </cellXfs>
  <cellStyles count="9775">
    <cellStyle name="Normal" xfId="0" builtinId="0"/>
    <cellStyle name="Percent" xfId="15" builtinId="5"/>
    <cellStyle name="Currency" xfId="16" builtinId="4"/>
    <cellStyle name="Currency [0]" xfId="17" builtinId="7"/>
    <cellStyle name="Comma" xfId="18" builtinId="3"/>
    <cellStyle name="Comma [0]" xfId="19" builtinId="6"/>
    <cellStyle name="Comma 2" xfId="20"/>
    <cellStyle name="Comma 2 2" xfId="21"/>
    <cellStyle name="Comma 3" xfId="22"/>
    <cellStyle name="Currency 2" xfId="23"/>
    <cellStyle name="Normal 2" xfId="24"/>
    <cellStyle name="Normal 2 2" xfId="25"/>
    <cellStyle name="Normal 3" xfId="26"/>
    <cellStyle name="Percent 2" xfId="27"/>
    <cellStyle name="Percent 2 2" xfId="28"/>
    <cellStyle name="Percent 2 3" xfId="29"/>
    <cellStyle name="20% - Accent1 2" xfId="30"/>
    <cellStyle name="20% - Accent2 2" xfId="31"/>
    <cellStyle name="20% - Accent3 2" xfId="32"/>
    <cellStyle name="20% - Accent4 2" xfId="33"/>
    <cellStyle name="20% - Accent5 2" xfId="34"/>
    <cellStyle name="20% - Accent6 2" xfId="35"/>
    <cellStyle name="40% - Accent1 2" xfId="36"/>
    <cellStyle name="40% - Accent2 2" xfId="37"/>
    <cellStyle name="40% - Accent3 2" xfId="38"/>
    <cellStyle name="40% - Accent4 2" xfId="39"/>
    <cellStyle name="40% - Accent5 2" xfId="40"/>
    <cellStyle name="40% - Accent6 2" xfId="41"/>
    <cellStyle name="60% - Accent1 2" xfId="42"/>
    <cellStyle name="60% - Accent2 2" xfId="43"/>
    <cellStyle name="60% - Accent3 2" xfId="44"/>
    <cellStyle name="60% - Accent4 2" xfId="45"/>
    <cellStyle name="60% - Accent5 2" xfId="46"/>
    <cellStyle name="60% - Accent6 2" xfId="47"/>
    <cellStyle name="Accent1 2" xfId="48"/>
    <cellStyle name="Accent2 2" xfId="49"/>
    <cellStyle name="Accent3 2" xfId="50"/>
    <cellStyle name="Accent4 2" xfId="51"/>
    <cellStyle name="Accent5 2" xfId="52"/>
    <cellStyle name="Accent6 2" xfId="53"/>
    <cellStyle name="Bad 2" xfId="54"/>
    <cellStyle name="Calculation 2" xfId="55"/>
    <cellStyle name="Check Cell 2" xfId="56"/>
    <cellStyle name="Comma 4" xfId="57"/>
    <cellStyle name="Comma 2 3" xfId="58"/>
    <cellStyle name="Comma 3 2" xfId="59"/>
    <cellStyle name="Explanatory Text 2" xfId="60"/>
    <cellStyle name="Good 2" xfId="61"/>
    <cellStyle name="Heading 1 2" xfId="62"/>
    <cellStyle name="Heading 2 2" xfId="63"/>
    <cellStyle name="Heading 3 2" xfId="64"/>
    <cellStyle name="Heading 4 2" xfId="65"/>
    <cellStyle name="Input 2" xfId="66"/>
    <cellStyle name="Linked Cell 2" xfId="67"/>
    <cellStyle name="Neutral 2" xfId="68"/>
    <cellStyle name="Normal 2 3" xfId="69"/>
    <cellStyle name="Normal 2 2 2" xfId="70"/>
    <cellStyle name="Normal 3 2" xfId="71"/>
    <cellStyle name="Normal 4" xfId="72"/>
    <cellStyle name="Normal 5" xfId="73"/>
    <cellStyle name="Note 3" xfId="74"/>
    <cellStyle name="Note 2" xfId="75"/>
    <cellStyle name="Output 2" xfId="76"/>
    <cellStyle name="Percent 3" xfId="77"/>
    <cellStyle name="Style 23" xfId="78"/>
    <cellStyle name="Style 23 2" xfId="79"/>
    <cellStyle name="Title 2" xfId="80"/>
    <cellStyle name="Total 2" xfId="81"/>
    <cellStyle name="Warning Text 2" xfId="82"/>
    <cellStyle name="Calculation 2 2" xfId="83"/>
    <cellStyle name="Input 2 2" xfId="84"/>
    <cellStyle name="Note 3 2" xfId="85"/>
    <cellStyle name="Note 2 2" xfId="86"/>
    <cellStyle name="Output 2 2" xfId="87"/>
    <cellStyle name="Total 2 2" xfId="88"/>
    <cellStyle name="Hyperlink" xfId="89" builtinId="8"/>
    <cellStyle name="Normal 5 2" xfId="90"/>
    <cellStyle name="Percent 3 2" xfId="91"/>
    <cellStyle name="Style 23 2 2" xfId="92"/>
    <cellStyle name="Style 23 3" xfId="93"/>
    <cellStyle name="Calculation 2 3" xfId="94"/>
    <cellStyle name="Input 2 3" xfId="95"/>
    <cellStyle name="Note 3 3" xfId="96"/>
    <cellStyle name="Note 2 3" xfId="97"/>
    <cellStyle name="Output 2 3" xfId="98"/>
    <cellStyle name="Total 2 3" xfId="99"/>
    <cellStyle name="Calculation 2 2 2" xfId="100"/>
    <cellStyle name="Input 2 2 2" xfId="101"/>
    <cellStyle name="Note 3 2 2" xfId="102"/>
    <cellStyle name="Note 2 2 2" xfId="103"/>
    <cellStyle name="Output 2 2 2" xfId="104"/>
    <cellStyle name="Total 2 2 2" xfId="105"/>
    <cellStyle name="Comma 5" xfId="106"/>
    <cellStyle name="Followed Hyperlink" xfId="107" hidden="1" builtinId="9"/>
    <cellStyle name="Followed Hyperlink" xfId="108" hidden="1" builtinId="9"/>
    <cellStyle name="Followed Hyperlink" xfId="109" hidden="1" builtinId="9"/>
    <cellStyle name="Followed Hyperlink" xfId="110" hidden="1" builtinId="9"/>
    <cellStyle name="Followed Hyperlink" xfId="111" hidden="1" builtinId="9"/>
    <cellStyle name="Followed Hyperlink" xfId="112" hidden="1" builtinId="9"/>
    <cellStyle name="Followed Hyperlink" xfId="113" hidden="1" builtinId="9"/>
    <cellStyle name="Followed Hyperlink" xfId="114" hidden="1" builtinId="9"/>
    <cellStyle name="Followed Hyperlink" xfId="115" hidden="1" builtinId="9"/>
    <cellStyle name="Followed Hyperlink" xfId="116" hidden="1" builtinId="9"/>
    <cellStyle name="Followed Hyperlink" xfId="117" hidden="1" builtinId="9"/>
    <cellStyle name="Followed Hyperlink" xfId="118" hidden="1" builtinId="9"/>
    <cellStyle name="Followed Hyperlink" xfId="119" hidden="1" builtinId="9"/>
    <cellStyle name="Followed Hyperlink" xfId="120" hidden="1" builtinId="9"/>
    <cellStyle name="Followed Hyperlink" xfId="121" hidden="1" builtinId="9"/>
    <cellStyle name="Followed Hyperlink" xfId="122" hidden="1" builtinId="9"/>
    <cellStyle name="Followed Hyperlink" xfId="123" hidden="1" builtinId="9"/>
    <cellStyle name="Followed Hyperlink" xfId="124" hidden="1" builtinId="9"/>
    <cellStyle name="Followed Hyperlink" xfId="125" hidden="1" builtinId="9"/>
    <cellStyle name="Followed Hyperlink" xfId="126" hidden="1" builtinId="9"/>
    <cellStyle name="Comma 6" xfId="127"/>
    <cellStyle name="Followed Hyperlink" xfId="128" hidden="1" builtinId="9"/>
    <cellStyle name="Followed Hyperlink" xfId="129" hidden="1" builtinId="9"/>
    <cellStyle name="Followed Hyperlink" xfId="130" hidden="1" builtinId="9"/>
    <cellStyle name="Followed Hyperlink" xfId="131" hidden="1" builtinId="9"/>
    <cellStyle name="Followed Hyperlink" xfId="132" hidden="1" builtinId="9"/>
    <cellStyle name="Followed Hyperlink" xfId="133" hidden="1" builtinId="9"/>
    <cellStyle name="Followed Hyperlink" xfId="134" hidden="1" builtinId="9"/>
    <cellStyle name="Followed Hyperlink" xfId="135" hidden="1" builtinId="9"/>
    <cellStyle name="Style 23 3 2" xfId="136"/>
    <cellStyle name="Style 23 2 2 2" xfId="137"/>
    <cellStyle name="Followed Hyperlink" xfId="138" hidden="1" builtinId="9"/>
    <cellStyle name="Followed Hyperlink" xfId="139" hidden="1" builtinId="9"/>
    <cellStyle name="Followed Hyperlink" xfId="140" hidden="1" builtinId="9"/>
    <cellStyle name="Followed Hyperlink" xfId="141" hidden="1" builtinId="9"/>
    <cellStyle name="Followed Hyperlink" xfId="142" hidden="1" builtinId="9"/>
    <cellStyle name="Followed Hyperlink" xfId="143" hidden="1" builtinId="9"/>
    <cellStyle name="Followed Hyperlink" xfId="144" hidden="1" builtinId="9"/>
    <cellStyle name="Followed Hyperlink" xfId="145" hidden="1" builtinId="9"/>
    <cellStyle name="Followed Hyperlink" xfId="146" hidden="1" builtinId="9"/>
    <cellStyle name="Followed Hyperlink" xfId="147" hidden="1" builtinId="9"/>
    <cellStyle name="Comma 13" xfId="148"/>
    <cellStyle name="Followed Hyperlink" xfId="149" hidden="1" builtinId="9"/>
    <cellStyle name="Followed Hyperlink" xfId="150" hidden="1" builtinId="9"/>
    <cellStyle name="Followed Hyperlink" xfId="151" hidden="1" builtinId="9"/>
    <cellStyle name="Followed Hyperlink" xfId="152" hidden="1" builtinId="9"/>
    <cellStyle name="Followed Hyperlink" xfId="153" hidden="1" builtinId="9"/>
    <cellStyle name="Followed Hyperlink" xfId="154" hidden="1" builtinId="9"/>
    <cellStyle name="Followed Hyperlink" xfId="155" hidden="1" builtinId="9"/>
    <cellStyle name="Followed Hyperlink" xfId="156" hidden="1" builtinId="9"/>
    <cellStyle name="Followed Hyperlink" xfId="157" hidden="1" builtinId="9"/>
    <cellStyle name="Followed Hyperlink" xfId="158" hidden="1" builtinId="9"/>
    <cellStyle name="Followed Hyperlink" xfId="159" hidden="1" builtinId="9"/>
    <cellStyle name="Followed Hyperlink" xfId="160" hidden="1" builtinId="9"/>
    <cellStyle name="Followed Hyperlink" xfId="161" hidden="1" builtinId="9"/>
    <cellStyle name="Followed Hyperlink" xfId="162" hidden="1" builtinId="9"/>
    <cellStyle name="Followed Hyperlink" xfId="163" hidden="1" builtinId="9"/>
    <cellStyle name="Followed Hyperlink" xfId="164" hidden="1" builtinId="9"/>
    <cellStyle name="Followed Hyperlink" xfId="165" hidden="1" builtinId="9"/>
    <cellStyle name="Followed Hyperlink" xfId="166" hidden="1" builtinId="9"/>
    <cellStyle name="Followed Hyperlink" xfId="167" hidden="1" builtinId="9"/>
    <cellStyle name="Followed Hyperlink" xfId="168" hidden="1" builtinId="9"/>
    <cellStyle name="Followed Hyperlink" xfId="169" hidden="1" builtinId="9"/>
    <cellStyle name="Followed Hyperlink" xfId="170" hidden="1" builtinId="9"/>
    <cellStyle name="Followed Hyperlink" xfId="171" hidden="1" builtinId="9"/>
    <cellStyle name="Followed Hyperlink" xfId="172" hidden="1" builtinId="9"/>
    <cellStyle name="Followed Hyperlink" xfId="173" hidden="1" builtinId="9"/>
    <cellStyle name="Followed Hyperlink" xfId="174" hidden="1" builtinId="9"/>
    <cellStyle name="Followed Hyperlink" xfId="175" hidden="1" builtinId="9"/>
    <cellStyle name="Followed Hyperlink" xfId="176" hidden="1" builtinId="9"/>
    <cellStyle name="Followed Hyperlink" xfId="177" hidden="1" builtinId="9"/>
    <cellStyle name="Followed Hyperlink" xfId="178" hidden="1" builtinId="9"/>
    <cellStyle name="Followed Hyperlink" xfId="179" hidden="1" builtinId="9"/>
    <cellStyle name="Followed Hyperlink" xfId="180" hidden="1" builtinId="9"/>
    <cellStyle name="Followed Hyperlink" xfId="181" hidden="1" builtinId="9"/>
    <cellStyle name="Followed Hyperlink" xfId="182" hidden="1" builtinId="9"/>
    <cellStyle name="Followed Hyperlink" xfId="183" hidden="1" builtinId="9"/>
    <cellStyle name="Followed Hyperlink" xfId="184" hidden="1" builtinId="9"/>
    <cellStyle name="Followed Hyperlink" xfId="185" hidden="1" builtinId="9"/>
    <cellStyle name="Followed Hyperlink" xfId="186" hidden="1" builtinId="9"/>
    <cellStyle name="Followed Hyperlink" xfId="187" hidden="1" builtinId="9"/>
    <cellStyle name="Followed Hyperlink" xfId="188" hidden="1" builtinId="9"/>
    <cellStyle name="Followed Hyperlink" xfId="189" hidden="1" builtinId="9"/>
    <cellStyle name="Followed Hyperlink" xfId="190" hidden="1" builtinId="9"/>
    <cellStyle name="Followed Hyperlink" xfId="191" hidden="1" builtinId="9"/>
    <cellStyle name="Followed Hyperlink" xfId="192" hidden="1" builtinId="9"/>
    <cellStyle name="Followed Hyperlink" xfId="193" hidden="1" builtinId="9"/>
    <cellStyle name="Followed Hyperlink" xfId="194" hidden="1" builtinId="9"/>
    <cellStyle name="Followed Hyperlink" xfId="195" hidden="1" builtinId="9"/>
    <cellStyle name="Followed Hyperlink" xfId="196" hidden="1" builtinId="9"/>
    <cellStyle name="Followed Hyperlink" xfId="197" hidden="1" builtinId="9"/>
    <cellStyle name="Followed Hyperlink" xfId="198" hidden="1" builtinId="9"/>
    <cellStyle name="Followed Hyperlink" xfId="199" hidden="1" builtinId="9"/>
    <cellStyle name="Followed Hyperlink" xfId="200" hidden="1" builtinId="9"/>
    <cellStyle name="Followed Hyperlink" xfId="201" hidden="1" builtinId="9"/>
    <cellStyle name="Followed Hyperlink" xfId="202" hidden="1" builtinId="9"/>
    <cellStyle name="Followed Hyperlink" xfId="203" hidden="1" builtinId="9"/>
    <cellStyle name="Followed Hyperlink" xfId="204" hidden="1" builtinId="9"/>
    <cellStyle name="Followed Hyperlink" xfId="205" hidden="1" builtinId="9"/>
    <cellStyle name="Followed Hyperlink" xfId="206" hidden="1" builtinId="9"/>
    <cellStyle name="Followed Hyperlink" xfId="207" hidden="1" builtinId="9"/>
    <cellStyle name="Followed Hyperlink" xfId="208" hidden="1" builtinId="9"/>
    <cellStyle name="Followed Hyperlink" xfId="209" hidden="1" builtinId="9"/>
    <cellStyle name="Followed Hyperlink" xfId="210" hidden="1" builtinId="9"/>
    <cellStyle name="Followed Hyperlink" xfId="211" hidden="1" builtinId="9"/>
    <cellStyle name="Followed Hyperlink" xfId="212" hidden="1" builtinId="9"/>
    <cellStyle name="Followed Hyperlink" xfId="213" hidden="1" builtinId="9"/>
    <cellStyle name="Followed Hyperlink" xfId="214" hidden="1" builtinId="9"/>
    <cellStyle name="Followed Hyperlink" xfId="215" hidden="1" builtinId="9"/>
    <cellStyle name="Followed Hyperlink" xfId="216" hidden="1" builtinId="9"/>
    <cellStyle name="Followed Hyperlink" xfId="217" hidden="1" builtinId="9"/>
    <cellStyle name="Followed Hyperlink" xfId="218" hidden="1" builtinId="9"/>
    <cellStyle name="Followed Hyperlink" xfId="219" hidden="1" builtinId="9"/>
    <cellStyle name="Followed Hyperlink" xfId="220" hidden="1" builtinId="9"/>
    <cellStyle name="Followed Hyperlink" xfId="221" hidden="1" builtinId="9"/>
    <cellStyle name="Followed Hyperlink" xfId="222" hidden="1" builtinId="9"/>
    <cellStyle name="Followed Hyperlink" xfId="223" hidden="1" builtinId="9"/>
    <cellStyle name="Followed Hyperlink" xfId="224" hidden="1" builtinId="9"/>
    <cellStyle name="Followed Hyperlink" xfId="225" hidden="1" builtinId="9"/>
    <cellStyle name="Followed Hyperlink" xfId="226" hidden="1" builtinId="9"/>
    <cellStyle name="Followed Hyperlink" xfId="227" hidden="1" builtinId="9"/>
    <cellStyle name="Followed Hyperlink" xfId="228" hidden="1" builtinId="9"/>
    <cellStyle name="Followed Hyperlink" xfId="229" hidden="1" builtinId="9"/>
    <cellStyle name="Followed Hyperlink" xfId="230" hidden="1" builtinId="9"/>
    <cellStyle name="Followed Hyperlink" xfId="231" hidden="1" builtinId="9"/>
    <cellStyle name="Followed Hyperlink" xfId="232" hidden="1" builtinId="9"/>
    <cellStyle name="Followed Hyperlink" xfId="233" hidden="1" builtinId="9"/>
    <cellStyle name="Followed Hyperlink" xfId="234" hidden="1" builtinId="9"/>
    <cellStyle name="Followed Hyperlink" xfId="235" hidden="1" builtinId="9"/>
    <cellStyle name="Followed Hyperlink" xfId="236" hidden="1" builtinId="9"/>
    <cellStyle name="Followed Hyperlink" xfId="237" hidden="1" builtinId="9"/>
    <cellStyle name="Followed Hyperlink" xfId="238" hidden="1" builtinId="9"/>
    <cellStyle name="Followed Hyperlink" xfId="239" hidden="1" builtinId="9"/>
    <cellStyle name="Followed Hyperlink" xfId="240" hidden="1" builtinId="9"/>
    <cellStyle name="Followed Hyperlink" xfId="241" hidden="1" builtinId="9"/>
    <cellStyle name="Followed Hyperlink" xfId="242" hidden="1" builtinId="9"/>
    <cellStyle name="Followed Hyperlink" xfId="243" hidden="1" builtinId="9"/>
    <cellStyle name="Followed Hyperlink" xfId="244" hidden="1" builtinId="9"/>
    <cellStyle name="Followed Hyperlink" xfId="245" hidden="1" builtinId="9"/>
    <cellStyle name="Followed Hyperlink" xfId="246" hidden="1" builtinId="9"/>
    <cellStyle name="Followed Hyperlink" xfId="247" hidden="1" builtinId="9"/>
    <cellStyle name="Followed Hyperlink" xfId="248" hidden="1" builtinId="9"/>
    <cellStyle name="Followed Hyperlink" xfId="249" hidden="1" builtinId="9"/>
    <cellStyle name="Followed Hyperlink" xfId="250" hidden="1" builtinId="9"/>
    <cellStyle name="Followed Hyperlink" xfId="251" hidden="1" builtinId="9"/>
    <cellStyle name="Followed Hyperlink" xfId="252" hidden="1" builtinId="9"/>
    <cellStyle name="Followed Hyperlink" xfId="253" hidden="1" builtinId="9"/>
    <cellStyle name="Followed Hyperlink" xfId="254" hidden="1" builtinId="9"/>
    <cellStyle name="Followed Hyperlink" xfId="255" hidden="1" builtinId="9"/>
    <cellStyle name="Followed Hyperlink" xfId="256" hidden="1" builtinId="9"/>
    <cellStyle name="Followed Hyperlink" xfId="257" hidden="1" builtinId="9"/>
    <cellStyle name="Followed Hyperlink" xfId="258" hidden="1" builtinId="9"/>
    <cellStyle name="Followed Hyperlink" xfId="259" hidden="1" builtinId="9"/>
    <cellStyle name="Followed Hyperlink" xfId="260" hidden="1" builtinId="9"/>
    <cellStyle name="Followed Hyperlink" xfId="261" hidden="1" builtinId="9"/>
    <cellStyle name="Followed Hyperlink" xfId="262" hidden="1" builtinId="9"/>
    <cellStyle name="Followed Hyperlink" xfId="263" hidden="1" builtinId="9"/>
    <cellStyle name="Followed Hyperlink" xfId="264" hidden="1" builtinId="9"/>
    <cellStyle name="Followed Hyperlink" xfId="265" hidden="1" builtinId="9"/>
    <cellStyle name="Followed Hyperlink" xfId="266" hidden="1" builtinId="9"/>
    <cellStyle name="Followed Hyperlink" xfId="267" hidden="1" builtinId="9"/>
    <cellStyle name="Followed Hyperlink" xfId="268" hidden="1" builtinId="9"/>
    <cellStyle name="Followed Hyperlink" xfId="269" hidden="1" builtinId="9"/>
    <cellStyle name="Followed Hyperlink" xfId="270" hidden="1" builtinId="9"/>
    <cellStyle name="Followed Hyperlink" xfId="271" hidden="1" builtinId="9"/>
    <cellStyle name="Followed Hyperlink" xfId="272" hidden="1" builtinId="9"/>
    <cellStyle name="Followed Hyperlink" xfId="273" hidden="1" builtinId="9"/>
    <cellStyle name="Followed Hyperlink" xfId="274" hidden="1" builtinId="9"/>
    <cellStyle name="Followed Hyperlink" xfId="275" hidden="1" builtinId="9"/>
    <cellStyle name="Followed Hyperlink" xfId="276" hidden="1" builtinId="9"/>
    <cellStyle name="Followed Hyperlink" xfId="277" hidden="1" builtinId="9"/>
    <cellStyle name="Followed Hyperlink" xfId="278" hidden="1" builtinId="9"/>
    <cellStyle name="Followed Hyperlink" xfId="279" hidden="1" builtinId="9"/>
    <cellStyle name="Followed Hyperlink" xfId="280" hidden="1" builtinId="9"/>
    <cellStyle name="Followed Hyperlink" xfId="281" hidden="1" builtinId="9"/>
    <cellStyle name="Followed Hyperlink" xfId="282" hidden="1" builtinId="9"/>
    <cellStyle name="Followed Hyperlink" xfId="283" hidden="1" builtinId="9"/>
    <cellStyle name="Followed Hyperlink" xfId="284" hidden="1" builtinId="9"/>
    <cellStyle name="Followed Hyperlink" xfId="285" hidden="1" builtinId="9"/>
    <cellStyle name="Followed Hyperlink" xfId="286" hidden="1" builtinId="9"/>
    <cellStyle name="Followed Hyperlink" xfId="287" hidden="1" builtinId="9"/>
    <cellStyle name="Followed Hyperlink" xfId="288" hidden="1" builtinId="9"/>
    <cellStyle name="Followed Hyperlink" xfId="289" hidden="1" builtinId="9"/>
    <cellStyle name="Followed Hyperlink" xfId="290" hidden="1" builtinId="9"/>
    <cellStyle name="Followed Hyperlink" xfId="291" hidden="1" builtinId="9"/>
    <cellStyle name="Followed Hyperlink" xfId="292" hidden="1" builtinId="9"/>
    <cellStyle name="Followed Hyperlink" xfId="293" hidden="1" builtinId="9"/>
    <cellStyle name="Followed Hyperlink" xfId="294" hidden="1" builtinId="9"/>
    <cellStyle name="Followed Hyperlink" xfId="295" hidden="1" builtinId="9"/>
    <cellStyle name="Followed Hyperlink" xfId="296" hidden="1" builtinId="9"/>
    <cellStyle name="Followed Hyperlink" xfId="297" hidden="1" builtinId="9"/>
    <cellStyle name="Followed Hyperlink" xfId="298" hidden="1" builtinId="9"/>
    <cellStyle name="Followed Hyperlink" xfId="299" hidden="1" builtinId="9"/>
    <cellStyle name="Followed Hyperlink" xfId="300" hidden="1" builtinId="9"/>
    <cellStyle name="Followed Hyperlink" xfId="301" hidden="1" builtinId="9"/>
    <cellStyle name="Followed Hyperlink" xfId="302" hidden="1" builtinId="9"/>
    <cellStyle name="Followed Hyperlink" xfId="303" hidden="1" builtinId="9"/>
    <cellStyle name="Followed Hyperlink" xfId="304" hidden="1" builtinId="9"/>
    <cellStyle name="Followed Hyperlink" xfId="305" hidden="1" builtinId="9"/>
    <cellStyle name="Followed Hyperlink" xfId="306" hidden="1" builtinId="9"/>
    <cellStyle name="Followed Hyperlink" xfId="307" hidden="1" builtinId="9"/>
    <cellStyle name="Followed Hyperlink" xfId="308" hidden="1" builtinId="9"/>
    <cellStyle name="Followed Hyperlink" xfId="309" hidden="1" builtinId="9"/>
    <cellStyle name="Followed Hyperlink" xfId="310" hidden="1" builtinId="9"/>
    <cellStyle name="Followed Hyperlink" xfId="311" hidden="1" builtinId="9"/>
    <cellStyle name="Followed Hyperlink" xfId="312" hidden="1" builtinId="9"/>
    <cellStyle name="Followed Hyperlink" xfId="313" hidden="1" builtinId="9"/>
    <cellStyle name="Followed Hyperlink" xfId="314" hidden="1" builtinId="9"/>
    <cellStyle name="Followed Hyperlink" xfId="315" hidden="1" builtinId="9"/>
    <cellStyle name="Followed Hyperlink" xfId="316" hidden="1" builtinId="9"/>
    <cellStyle name="Followed Hyperlink" xfId="317" hidden="1" builtinId="9"/>
    <cellStyle name="Followed Hyperlink" xfId="318" hidden="1" builtinId="9"/>
    <cellStyle name="Followed Hyperlink" xfId="319" hidden="1" builtinId="9"/>
    <cellStyle name="Followed Hyperlink" xfId="320" hidden="1" builtinId="9"/>
    <cellStyle name="Followed Hyperlink" xfId="321" hidden="1" builtinId="9"/>
    <cellStyle name="Followed Hyperlink" xfId="322" hidden="1" builtinId="9"/>
    <cellStyle name="Followed Hyperlink" xfId="323" hidden="1" builtinId="9"/>
    <cellStyle name="Followed Hyperlink" xfId="324" hidden="1" builtinId="9"/>
    <cellStyle name="Followed Hyperlink" xfId="325" hidden="1" builtinId="9"/>
    <cellStyle name="Followed Hyperlink" xfId="326" hidden="1" builtinId="9"/>
    <cellStyle name="Followed Hyperlink" xfId="327" hidden="1" builtinId="9"/>
    <cellStyle name="Followed Hyperlink" xfId="328" hidden="1" builtinId="9"/>
    <cellStyle name="Followed Hyperlink" xfId="329" hidden="1" builtinId="9"/>
    <cellStyle name="Followed Hyperlink" xfId="330" hidden="1" builtinId="9"/>
    <cellStyle name="Followed Hyperlink" xfId="331" hidden="1" builtinId="9"/>
    <cellStyle name="Followed Hyperlink" xfId="332" hidden="1" builtinId="9"/>
    <cellStyle name="Followed Hyperlink" xfId="333" hidden="1" builtinId="9"/>
    <cellStyle name="Followed Hyperlink" xfId="334" hidden="1" builtinId="9"/>
    <cellStyle name="Followed Hyperlink" xfId="335" hidden="1" builtinId="9"/>
    <cellStyle name="Followed Hyperlink" xfId="336" hidden="1" builtinId="9"/>
    <cellStyle name="Followed Hyperlink" xfId="337" hidden="1" builtinId="9"/>
    <cellStyle name="Followed Hyperlink" xfId="338" hidden="1" builtinId="9"/>
    <cellStyle name="Followed Hyperlink" xfId="339" hidden="1" builtinId="9"/>
    <cellStyle name="Followed Hyperlink" xfId="340" hidden="1" builtinId="9"/>
    <cellStyle name="Followed Hyperlink" xfId="341" hidden="1" builtinId="9"/>
    <cellStyle name="Followed Hyperlink" xfId="342" hidden="1" builtinId="9"/>
    <cellStyle name="Followed Hyperlink" xfId="343" hidden="1" builtinId="9"/>
    <cellStyle name="Followed Hyperlink" xfId="344" hidden="1" builtinId="9"/>
    <cellStyle name="Followed Hyperlink" xfId="345" hidden="1" builtinId="9"/>
    <cellStyle name="Followed Hyperlink" xfId="346" hidden="1" builtinId="9"/>
    <cellStyle name="Followed Hyperlink" xfId="347" hidden="1" builtinId="9"/>
    <cellStyle name="Followed Hyperlink" xfId="348" hidden="1" builtinId="9"/>
    <cellStyle name="Followed Hyperlink" xfId="349" hidden="1" builtinId="9"/>
    <cellStyle name="Followed Hyperlink" xfId="350" hidden="1" builtinId="9"/>
    <cellStyle name="Followed Hyperlink" xfId="351" hidden="1" builtinId="9"/>
    <cellStyle name="Followed Hyperlink" xfId="352" hidden="1" builtinId="9"/>
    <cellStyle name="Followed Hyperlink" xfId="353" hidden="1" builtinId="9"/>
    <cellStyle name="Followed Hyperlink" xfId="354" hidden="1" builtinId="9"/>
    <cellStyle name="Followed Hyperlink" xfId="355" hidden="1" builtinId="9"/>
    <cellStyle name="Followed Hyperlink" xfId="356" hidden="1" builtinId="9"/>
    <cellStyle name="Followed Hyperlink" xfId="357" hidden="1" builtinId="9"/>
    <cellStyle name="Followed Hyperlink" xfId="358" hidden="1" builtinId="9"/>
    <cellStyle name="Followed Hyperlink" xfId="359" hidden="1" builtinId="9"/>
    <cellStyle name="Followed Hyperlink" xfId="360" hidden="1" builtinId="9"/>
    <cellStyle name="Followed Hyperlink" xfId="361" hidden="1" builtinId="9"/>
    <cellStyle name="Followed Hyperlink" xfId="362" hidden="1" builtinId="9"/>
    <cellStyle name="Followed Hyperlink" xfId="363" hidden="1" builtinId="9"/>
    <cellStyle name="Followed Hyperlink" xfId="364" hidden="1" builtinId="9"/>
    <cellStyle name="Followed Hyperlink" xfId="365" hidden="1" builtinId="9"/>
    <cellStyle name="Followed Hyperlink" xfId="366" hidden="1" builtinId="9"/>
    <cellStyle name="Followed Hyperlink" xfId="367" hidden="1" builtinId="9"/>
    <cellStyle name="Followed Hyperlink" xfId="368" hidden="1" builtinId="9"/>
    <cellStyle name="Followed Hyperlink" xfId="369" hidden="1" builtinId="9"/>
    <cellStyle name="Followed Hyperlink" xfId="370" hidden="1" builtinId="9"/>
    <cellStyle name="Followed Hyperlink" xfId="371" hidden="1" builtinId="9"/>
    <cellStyle name="Followed Hyperlink" xfId="372" hidden="1" builtinId="9"/>
    <cellStyle name="Followed Hyperlink" xfId="373" hidden="1" builtinId="9"/>
    <cellStyle name="Followed Hyperlink" xfId="374" hidden="1" builtinId="9"/>
    <cellStyle name="Followed Hyperlink" xfId="375" hidden="1" builtinId="9"/>
    <cellStyle name="Followed Hyperlink" xfId="376" hidden="1" builtinId="9"/>
    <cellStyle name="Followed Hyperlink" xfId="377" hidden="1" builtinId="9"/>
    <cellStyle name="Followed Hyperlink" xfId="378" hidden="1" builtinId="9"/>
    <cellStyle name="Followed Hyperlink" xfId="379" hidden="1" builtinId="9"/>
    <cellStyle name="Followed Hyperlink" xfId="380" hidden="1" builtinId="9"/>
    <cellStyle name="Followed Hyperlink" xfId="381" hidden="1" builtinId="9"/>
    <cellStyle name="Followed Hyperlink" xfId="382" hidden="1" builtinId="9"/>
    <cellStyle name="Followed Hyperlink" xfId="383" hidden="1" builtinId="9"/>
    <cellStyle name="Followed Hyperlink" xfId="384" hidden="1" builtinId="9"/>
    <cellStyle name="Followed Hyperlink" xfId="385" hidden="1" builtinId="9"/>
    <cellStyle name="Followed Hyperlink" xfId="386" hidden="1" builtinId="9"/>
    <cellStyle name="Followed Hyperlink" xfId="387" hidden="1" builtinId="9"/>
    <cellStyle name="Followed Hyperlink" xfId="388" hidden="1" builtinId="9"/>
    <cellStyle name="Followed Hyperlink" xfId="389" hidden="1" builtinId="9"/>
    <cellStyle name="Followed Hyperlink" xfId="390" hidden="1" builtinId="9"/>
    <cellStyle name="Followed Hyperlink" xfId="391" hidden="1" builtinId="9"/>
    <cellStyle name="Followed Hyperlink" xfId="392" hidden="1" builtinId="9"/>
    <cellStyle name="Followed Hyperlink" xfId="393" hidden="1" builtinId="9"/>
    <cellStyle name="Followed Hyperlink" xfId="394" hidden="1" builtinId="9"/>
    <cellStyle name="Followed Hyperlink" xfId="395" hidden="1" builtinId="9"/>
    <cellStyle name="Followed Hyperlink" xfId="396" hidden="1" builtinId="9"/>
    <cellStyle name="Followed Hyperlink" xfId="397" hidden="1" builtinId="9"/>
    <cellStyle name="Followed Hyperlink" xfId="398" hidden="1" builtinId="9"/>
    <cellStyle name="Followed Hyperlink" xfId="399" hidden="1" builtinId="9"/>
    <cellStyle name="Followed Hyperlink" xfId="400" hidden="1" builtinId="9"/>
    <cellStyle name="Followed Hyperlink" xfId="401" hidden="1" builtinId="9"/>
    <cellStyle name="Followed Hyperlink" xfId="402" hidden="1" builtinId="9"/>
    <cellStyle name="Followed Hyperlink" xfId="403" hidden="1" builtinId="9"/>
    <cellStyle name="Followed Hyperlink" xfId="404" hidden="1" builtinId="9"/>
    <cellStyle name="Followed Hyperlink" xfId="405" hidden="1" builtinId="9"/>
    <cellStyle name="Followed Hyperlink" xfId="406" hidden="1" builtinId="9"/>
    <cellStyle name="Followed Hyperlink" xfId="407" hidden="1" builtinId="9"/>
    <cellStyle name="Followed Hyperlink" xfId="408" hidden="1" builtinId="9"/>
    <cellStyle name="Followed Hyperlink" xfId="409" hidden="1" builtinId="9"/>
    <cellStyle name="Followed Hyperlink" xfId="410" hidden="1" builtinId="9"/>
    <cellStyle name="Followed Hyperlink" xfId="411" hidden="1" builtinId="9"/>
    <cellStyle name="Followed Hyperlink" xfId="412" hidden="1" builtinId="9"/>
    <cellStyle name="Followed Hyperlink" xfId="413" hidden="1" builtinId="9"/>
    <cellStyle name="Followed Hyperlink" xfId="414" hidden="1" builtinId="9"/>
    <cellStyle name="Followed Hyperlink" xfId="415" hidden="1" builtinId="9"/>
    <cellStyle name="Followed Hyperlink" xfId="416" hidden="1" builtinId="9"/>
    <cellStyle name="Followed Hyperlink" xfId="417" hidden="1" builtinId="9"/>
    <cellStyle name="Followed Hyperlink" xfId="418" hidden="1" builtinId="9"/>
    <cellStyle name="Followed Hyperlink" xfId="419" hidden="1" builtinId="9"/>
    <cellStyle name="Followed Hyperlink" xfId="420" hidden="1" builtinId="9"/>
    <cellStyle name="Followed Hyperlink" xfId="421" hidden="1" builtinId="9"/>
    <cellStyle name="Followed Hyperlink" xfId="422" hidden="1" builtinId="9"/>
    <cellStyle name="Followed Hyperlink" xfId="423" hidden="1" builtinId="9"/>
    <cellStyle name="Followed Hyperlink" xfId="424" hidden="1" builtinId="9"/>
    <cellStyle name="Followed Hyperlink" xfId="425" hidden="1" builtinId="9"/>
    <cellStyle name="Followed Hyperlink" xfId="426" hidden="1" builtinId="9"/>
    <cellStyle name="Followed Hyperlink" xfId="427" hidden="1" builtinId="9"/>
    <cellStyle name="Followed Hyperlink" xfId="428" hidden="1" builtinId="9"/>
    <cellStyle name="Followed Hyperlink" xfId="429" hidden="1" builtinId="9"/>
    <cellStyle name="Followed Hyperlink" xfId="430" hidden="1" builtinId="9"/>
    <cellStyle name="Followed Hyperlink" xfId="431" hidden="1" builtinId="9"/>
    <cellStyle name="Followed Hyperlink" xfId="432" hidden="1" builtinId="9"/>
    <cellStyle name="Followed Hyperlink" xfId="433" hidden="1" builtinId="9"/>
    <cellStyle name="Followed Hyperlink" xfId="434" hidden="1" builtinId="9"/>
    <cellStyle name="Followed Hyperlink" xfId="435" hidden="1" builtinId="9"/>
    <cellStyle name="Followed Hyperlink" xfId="436" hidden="1" builtinId="9"/>
    <cellStyle name="Followed Hyperlink" xfId="437" hidden="1" builtinId="9"/>
    <cellStyle name="Followed Hyperlink" xfId="438" hidden="1" builtinId="9"/>
    <cellStyle name="Followed Hyperlink" xfId="439" hidden="1" builtinId="9"/>
    <cellStyle name="Followed Hyperlink" xfId="440" hidden="1" builtinId="9"/>
    <cellStyle name="Followed Hyperlink" xfId="441" hidden="1" builtinId="9"/>
    <cellStyle name="Followed Hyperlink" xfId="442" hidden="1" builtinId="9"/>
    <cellStyle name="Followed Hyperlink" xfId="443" hidden="1" builtinId="9"/>
    <cellStyle name="Followed Hyperlink" xfId="444" hidden="1" builtinId="9"/>
    <cellStyle name="Followed Hyperlink" xfId="445" hidden="1" builtinId="9"/>
    <cellStyle name="Followed Hyperlink" xfId="446" hidden="1" builtinId="9"/>
    <cellStyle name="Followed Hyperlink" xfId="447" hidden="1" builtinId="9"/>
    <cellStyle name="Followed Hyperlink" xfId="448" hidden="1" builtinId="9"/>
    <cellStyle name="Followed Hyperlink" xfId="449" hidden="1" builtinId="9"/>
    <cellStyle name="Followed Hyperlink" xfId="450" hidden="1" builtinId="9"/>
    <cellStyle name="Followed Hyperlink" xfId="451" hidden="1" builtinId="9"/>
    <cellStyle name="Followed Hyperlink" xfId="452" hidden="1" builtinId="9"/>
    <cellStyle name="Followed Hyperlink" xfId="453" hidden="1" builtinId="9"/>
    <cellStyle name="Followed Hyperlink" xfId="454" hidden="1" builtinId="9"/>
    <cellStyle name="Followed Hyperlink" xfId="455" hidden="1" builtinId="9"/>
    <cellStyle name="Followed Hyperlink" xfId="456" hidden="1" builtinId="9"/>
    <cellStyle name="Followed Hyperlink" xfId="457" hidden="1" builtinId="9"/>
    <cellStyle name="Followed Hyperlink" xfId="458" hidden="1" builtinId="9"/>
    <cellStyle name="Followed Hyperlink" xfId="459" hidden="1" builtinId="9"/>
    <cellStyle name="Followed Hyperlink" xfId="460" hidden="1" builtinId="9"/>
    <cellStyle name="Followed Hyperlink" xfId="461" hidden="1" builtinId="9"/>
    <cellStyle name="Followed Hyperlink" xfId="462" hidden="1" builtinId="9"/>
    <cellStyle name="Followed Hyperlink" xfId="463" hidden="1" builtinId="9"/>
    <cellStyle name="Followed Hyperlink" xfId="464" hidden="1" builtinId="9"/>
    <cellStyle name="Followed Hyperlink" xfId="465" hidden="1" builtinId="9"/>
    <cellStyle name="Followed Hyperlink" xfId="466" hidden="1" builtinId="9"/>
    <cellStyle name="Followed Hyperlink" xfId="467" hidden="1" builtinId="9"/>
    <cellStyle name="Followed Hyperlink" xfId="468" hidden="1" builtinId="9"/>
    <cellStyle name="Followed Hyperlink" xfId="469" hidden="1" builtinId="9"/>
    <cellStyle name="Followed Hyperlink" xfId="470" hidden="1" builtinId="9"/>
    <cellStyle name="Followed Hyperlink" xfId="471" hidden="1" builtinId="9"/>
    <cellStyle name="Followed Hyperlink" xfId="472" hidden="1" builtinId="9"/>
    <cellStyle name="Followed Hyperlink" xfId="473" hidden="1" builtinId="9"/>
    <cellStyle name="Followed Hyperlink" xfId="474" hidden="1" builtinId="9"/>
    <cellStyle name="Followed Hyperlink" xfId="475" hidden="1" builtinId="9"/>
    <cellStyle name="Followed Hyperlink" xfId="476" hidden="1" builtinId="9"/>
    <cellStyle name="Followed Hyperlink" xfId="477" hidden="1" builtinId="9"/>
    <cellStyle name="Followed Hyperlink" xfId="478" hidden="1" builtinId="9"/>
    <cellStyle name="Followed Hyperlink" xfId="479" hidden="1" builtinId="9"/>
    <cellStyle name="Followed Hyperlink" xfId="480" hidden="1" builtinId="9"/>
    <cellStyle name="Followed Hyperlink" xfId="481" hidden="1" builtinId="9"/>
    <cellStyle name="Followed Hyperlink" xfId="482" hidden="1" builtinId="9"/>
    <cellStyle name="Followed Hyperlink" xfId="483" hidden="1" builtinId="9"/>
    <cellStyle name="Followed Hyperlink" xfId="484" hidden="1" builtinId="9"/>
    <cellStyle name="Followed Hyperlink" xfId="485" hidden="1" builtinId="9"/>
    <cellStyle name="Followed Hyperlink" xfId="486" hidden="1" builtinId="9"/>
    <cellStyle name="Followed Hyperlink" xfId="487" hidden="1" builtinId="9"/>
    <cellStyle name="Followed Hyperlink" xfId="488" hidden="1" builtinId="9"/>
    <cellStyle name="Followed Hyperlink" xfId="489" hidden="1" builtinId="9"/>
    <cellStyle name="Followed Hyperlink" xfId="490" hidden="1" builtinId="9"/>
    <cellStyle name="Followed Hyperlink" xfId="491" hidden="1" builtinId="9"/>
    <cellStyle name="Followed Hyperlink" xfId="492" hidden="1" builtinId="9"/>
    <cellStyle name="Followed Hyperlink" xfId="493" hidden="1" builtinId="9"/>
    <cellStyle name="Followed Hyperlink" xfId="494" hidden="1" builtinId="9"/>
    <cellStyle name="Followed Hyperlink" xfId="495" hidden="1" builtinId="9"/>
    <cellStyle name="Followed Hyperlink" xfId="496" hidden="1" builtinId="9"/>
    <cellStyle name="Followed Hyperlink" xfId="497" hidden="1" builtinId="9"/>
    <cellStyle name="Followed Hyperlink" xfId="498" hidden="1" builtinId="9"/>
    <cellStyle name="Followed Hyperlink" xfId="499" hidden="1" builtinId="9"/>
    <cellStyle name="Followed Hyperlink" xfId="500" hidden="1" builtinId="9"/>
    <cellStyle name="Followed Hyperlink" xfId="501" hidden="1" builtinId="9"/>
    <cellStyle name="Followed Hyperlink" xfId="502" hidden="1" builtinId="9"/>
    <cellStyle name="Followed Hyperlink" xfId="503" hidden="1" builtinId="9"/>
    <cellStyle name="Followed Hyperlink" xfId="504" hidden="1" builtinId="9"/>
    <cellStyle name="Followed Hyperlink" xfId="505" hidden="1" builtinId="9"/>
    <cellStyle name="Followed Hyperlink" xfId="506" hidden="1" builtinId="9"/>
    <cellStyle name="Followed Hyperlink" xfId="507" hidden="1" builtinId="9"/>
    <cellStyle name="Followed Hyperlink" xfId="508" hidden="1" builtinId="9"/>
    <cellStyle name="Followed Hyperlink" xfId="509" hidden="1" builtinId="9"/>
    <cellStyle name="Followed Hyperlink" xfId="510" hidden="1" builtinId="9"/>
    <cellStyle name="Followed Hyperlink" xfId="511" hidden="1" builtinId="9"/>
    <cellStyle name="Followed Hyperlink" xfId="512" hidden="1" builtinId="9"/>
    <cellStyle name="Followed Hyperlink" xfId="513" hidden="1" builtinId="9"/>
    <cellStyle name="Followed Hyperlink" xfId="514" hidden="1" builtinId="9"/>
    <cellStyle name="Followed Hyperlink" xfId="515" hidden="1" builtinId="9"/>
    <cellStyle name="Followed Hyperlink" xfId="516" hidden="1" builtinId="9"/>
    <cellStyle name="Followed Hyperlink" xfId="517" hidden="1" builtinId="9"/>
    <cellStyle name="Followed Hyperlink" xfId="518" hidden="1" builtinId="9"/>
    <cellStyle name="Followed Hyperlink" xfId="519" hidden="1" builtinId="9"/>
    <cellStyle name="Followed Hyperlink" xfId="520" hidden="1" builtinId="9"/>
    <cellStyle name="Followed Hyperlink" xfId="521" hidden="1" builtinId="9"/>
    <cellStyle name="Followed Hyperlink" xfId="522" hidden="1" builtinId="9"/>
    <cellStyle name="Followed Hyperlink" xfId="523" hidden="1" builtinId="9"/>
    <cellStyle name="Followed Hyperlink" xfId="524" hidden="1" builtinId="9"/>
    <cellStyle name="Followed Hyperlink" xfId="525" hidden="1" builtinId="9"/>
    <cellStyle name="Followed Hyperlink" xfId="526" hidden="1" builtinId="9"/>
    <cellStyle name="Followed Hyperlink" xfId="527" hidden="1" builtinId="9"/>
    <cellStyle name="Followed Hyperlink" xfId="528" hidden="1" builtinId="9"/>
    <cellStyle name="Followed Hyperlink" xfId="529" hidden="1" builtinId="9"/>
    <cellStyle name="Followed Hyperlink" xfId="530" hidden="1" builtinId="9"/>
    <cellStyle name="Followed Hyperlink" xfId="531" hidden="1" builtinId="9"/>
    <cellStyle name="Followed Hyperlink" xfId="532" hidden="1" builtinId="9"/>
    <cellStyle name="Followed Hyperlink" xfId="533" hidden="1" builtinId="9"/>
    <cellStyle name="Followed Hyperlink" xfId="534" hidden="1" builtinId="9"/>
    <cellStyle name="Followed Hyperlink" xfId="535" hidden="1" builtinId="9"/>
    <cellStyle name="Followed Hyperlink" xfId="536" hidden="1" builtinId="9"/>
    <cellStyle name="Followed Hyperlink" xfId="537" hidden="1" builtinId="9"/>
    <cellStyle name="Followed Hyperlink" xfId="538" hidden="1" builtinId="9"/>
    <cellStyle name="Followed Hyperlink" xfId="539" hidden="1" builtinId="9"/>
    <cellStyle name="Followed Hyperlink" xfId="540" hidden="1" builtinId="9"/>
    <cellStyle name="Followed Hyperlink" xfId="541" hidden="1" builtinId="9"/>
    <cellStyle name="Followed Hyperlink" xfId="542" hidden="1" builtinId="9"/>
    <cellStyle name="Followed Hyperlink" xfId="543" hidden="1" builtinId="9"/>
    <cellStyle name="Followed Hyperlink" xfId="544" hidden="1" builtinId="9"/>
    <cellStyle name="Followed Hyperlink" xfId="545" hidden="1" builtinId="9"/>
    <cellStyle name="Followed Hyperlink" xfId="546" hidden="1" builtinId="9"/>
    <cellStyle name="Followed Hyperlink" xfId="547" hidden="1" builtinId="9"/>
    <cellStyle name="Followed Hyperlink" xfId="548" hidden="1" builtinId="9"/>
    <cellStyle name="Followed Hyperlink" xfId="549" hidden="1" builtinId="9"/>
    <cellStyle name="Followed Hyperlink" xfId="550" hidden="1" builtinId="9"/>
    <cellStyle name="Followed Hyperlink" xfId="551" hidden="1" builtinId="9"/>
    <cellStyle name="Followed Hyperlink" xfId="552" hidden="1" builtinId="9"/>
    <cellStyle name="Followed Hyperlink" xfId="553" hidden="1" builtinId="9"/>
    <cellStyle name="Followed Hyperlink" xfId="554" hidden="1" builtinId="9"/>
    <cellStyle name="Followed Hyperlink" xfId="555" hidden="1" builtinId="9"/>
    <cellStyle name="Followed Hyperlink" xfId="556" hidden="1" builtinId="9"/>
    <cellStyle name="Followed Hyperlink" xfId="557" hidden="1" builtinId="9"/>
    <cellStyle name="Followed Hyperlink" xfId="558" hidden="1" builtinId="9"/>
    <cellStyle name="Followed Hyperlink" xfId="559" hidden="1" builtinId="9"/>
    <cellStyle name="Followed Hyperlink" xfId="560" hidden="1" builtinId="9"/>
    <cellStyle name="Followed Hyperlink" xfId="561" hidden="1" builtinId="9"/>
    <cellStyle name="Followed Hyperlink" xfId="562" hidden="1" builtinId="9"/>
    <cellStyle name="Followed Hyperlink" xfId="563" hidden="1" builtinId="9"/>
    <cellStyle name="Followed Hyperlink" xfId="564" hidden="1" builtinId="9"/>
    <cellStyle name="Followed Hyperlink" xfId="565" hidden="1" builtinId="9"/>
    <cellStyle name="Followed Hyperlink" xfId="566" hidden="1" builtinId="9"/>
    <cellStyle name="Followed Hyperlink" xfId="567" hidden="1" builtinId="9"/>
    <cellStyle name="Followed Hyperlink" xfId="568" hidden="1" builtinId="9"/>
    <cellStyle name="Followed Hyperlink" xfId="569" hidden="1" builtinId="9"/>
    <cellStyle name="Followed Hyperlink" xfId="570" hidden="1" builtinId="9"/>
    <cellStyle name="Followed Hyperlink" xfId="571" hidden="1" builtinId="9"/>
    <cellStyle name="Followed Hyperlink" xfId="572" hidden="1" builtinId="9"/>
    <cellStyle name="Followed Hyperlink" xfId="573" hidden="1" builtinId="9"/>
    <cellStyle name="Followed Hyperlink" xfId="574" hidden="1" builtinId="9"/>
    <cellStyle name="Followed Hyperlink" xfId="575" hidden="1" builtinId="9"/>
    <cellStyle name="Followed Hyperlink" xfId="576" hidden="1" builtinId="9"/>
    <cellStyle name="Followed Hyperlink" xfId="577" hidden="1" builtinId="9"/>
    <cellStyle name="Followed Hyperlink" xfId="578" hidden="1" builtinId="9"/>
    <cellStyle name="Followed Hyperlink" xfId="579" hidden="1" builtinId="9"/>
    <cellStyle name="Followed Hyperlink" xfId="580" hidden="1" builtinId="9"/>
    <cellStyle name="Followed Hyperlink" xfId="581" hidden="1" builtinId="9"/>
    <cellStyle name="Followed Hyperlink" xfId="582" hidden="1" builtinId="9"/>
    <cellStyle name="Followed Hyperlink" xfId="583" hidden="1" builtinId="9"/>
    <cellStyle name="Followed Hyperlink" xfId="584" hidden="1" builtinId="9"/>
    <cellStyle name="Followed Hyperlink" xfId="585" hidden="1" builtinId="9"/>
    <cellStyle name="Followed Hyperlink" xfId="586" hidden="1" builtinId="9"/>
    <cellStyle name="Followed Hyperlink" xfId="587" hidden="1" builtinId="9"/>
    <cellStyle name="Followed Hyperlink" xfId="588" hidden="1" builtinId="9"/>
    <cellStyle name="Followed Hyperlink" xfId="589" hidden="1" builtinId="9"/>
    <cellStyle name="Followed Hyperlink" xfId="590" hidden="1" builtinId="9"/>
    <cellStyle name="Followed Hyperlink" xfId="591" hidden="1" builtinId="9"/>
    <cellStyle name="Followed Hyperlink" xfId="592" hidden="1" builtinId="9"/>
    <cellStyle name="Followed Hyperlink" xfId="593" hidden="1" builtinId="9"/>
    <cellStyle name="Followed Hyperlink" xfId="594" hidden="1" builtinId="9"/>
    <cellStyle name="Followed Hyperlink" xfId="595" hidden="1" builtinId="9"/>
    <cellStyle name="Followed Hyperlink" xfId="596" hidden="1" builtinId="9"/>
    <cellStyle name="Followed Hyperlink" xfId="597" hidden="1" builtinId="9"/>
    <cellStyle name="Followed Hyperlink" xfId="598" hidden="1" builtinId="9"/>
    <cellStyle name="Followed Hyperlink" xfId="599" hidden="1" builtinId="9"/>
    <cellStyle name="Followed Hyperlink" xfId="600" hidden="1" builtinId="9"/>
    <cellStyle name="Followed Hyperlink" xfId="601" hidden="1" builtinId="9"/>
    <cellStyle name="Followed Hyperlink" xfId="602" hidden="1" builtinId="9"/>
    <cellStyle name="Followed Hyperlink" xfId="603" hidden="1" builtinId="9"/>
    <cellStyle name="Followed Hyperlink" xfId="604" hidden="1" builtinId="9"/>
    <cellStyle name="Followed Hyperlink" xfId="605" hidden="1" builtinId="9"/>
    <cellStyle name="Followed Hyperlink" xfId="606" hidden="1" builtinId="9"/>
    <cellStyle name="Followed Hyperlink" xfId="607" hidden="1" builtinId="9"/>
    <cellStyle name="Followed Hyperlink" xfId="608" hidden="1" builtinId="9"/>
    <cellStyle name="Followed Hyperlink" xfId="609" hidden="1" builtinId="9"/>
    <cellStyle name="Followed Hyperlink" xfId="610" hidden="1" builtinId="9"/>
    <cellStyle name="Followed Hyperlink" xfId="611" hidden="1" builtinId="9"/>
    <cellStyle name="Followed Hyperlink" xfId="612" hidden="1" builtinId="9"/>
    <cellStyle name="Followed Hyperlink" xfId="613" hidden="1" builtinId="9"/>
    <cellStyle name="Followed Hyperlink" xfId="614" hidden="1" builtinId="9"/>
    <cellStyle name="Followed Hyperlink" xfId="615" hidden="1" builtinId="9"/>
    <cellStyle name="Followed Hyperlink" xfId="616" hidden="1" builtinId="9"/>
    <cellStyle name="Followed Hyperlink" xfId="617" hidden="1" builtinId="9"/>
    <cellStyle name="Followed Hyperlink" xfId="618" hidden="1" builtinId="9"/>
    <cellStyle name="Followed Hyperlink" xfId="619" hidden="1" builtinId="9"/>
    <cellStyle name="Followed Hyperlink" xfId="620" hidden="1" builtinId="9"/>
    <cellStyle name="Followed Hyperlink" xfId="621" hidden="1" builtinId="9"/>
    <cellStyle name="Followed Hyperlink" xfId="622" hidden="1" builtinId="9"/>
    <cellStyle name="Followed Hyperlink" xfId="623" hidden="1" builtinId="9"/>
    <cellStyle name="Followed Hyperlink" xfId="624" hidden="1" builtinId="9"/>
    <cellStyle name="Followed Hyperlink" xfId="625" hidden="1" builtinId="9"/>
    <cellStyle name="Followed Hyperlink" xfId="626" hidden="1" builtinId="9"/>
    <cellStyle name="Followed Hyperlink" xfId="627" hidden="1" builtinId="9"/>
    <cellStyle name="Followed Hyperlink" xfId="628" hidden="1" builtinId="9"/>
    <cellStyle name="Normal 6" xfId="629"/>
    <cellStyle name="Normal 2 4" xfId="630"/>
    <cellStyle name="Followed Hyperlink" xfId="631" hidden="1" builtinId="9"/>
    <cellStyle name="Followed Hyperlink" xfId="632" hidden="1" builtinId="9"/>
    <cellStyle name="Followed Hyperlink" xfId="633" hidden="1" builtinId="9"/>
    <cellStyle name="Followed Hyperlink" xfId="634" hidden="1" builtinId="9"/>
    <cellStyle name="Followed Hyperlink" xfId="635" hidden="1" builtinId="9"/>
    <cellStyle name="Followed Hyperlink" xfId="636" hidden="1" builtinId="9"/>
    <cellStyle name="Followed Hyperlink" xfId="637" hidden="1" builtinId="9"/>
    <cellStyle name="Comma 6 7" xfId="638"/>
    <cellStyle name="Normal 2 5" xfId="639"/>
    <cellStyle name="Followed Hyperlink" xfId="640" hidden="1" builtinId="9"/>
    <cellStyle name="Followed Hyperlink" xfId="641" hidden="1" builtinId="9"/>
    <cellStyle name="Followed Hyperlink" xfId="642" hidden="1" builtinId="9"/>
    <cellStyle name="Followed Hyperlink" xfId="643" hidden="1" builtinId="9"/>
    <cellStyle name="Followed Hyperlink" xfId="644" hidden="1" builtinId="9"/>
    <cellStyle name="Followed Hyperlink" xfId="645" hidden="1" builtinId="9"/>
    <cellStyle name="Followed Hyperlink" xfId="646" hidden="1" builtinId="9"/>
    <cellStyle name="Followed Hyperlink" xfId="647" hidden="1" builtinId="9"/>
    <cellStyle name="Followed Hyperlink" xfId="648" hidden="1" builtinId="9"/>
    <cellStyle name="Followed Hyperlink" xfId="649" hidden="1" builtinId="9"/>
    <cellStyle name="Followed Hyperlink" xfId="650" hidden="1" builtinId="9"/>
    <cellStyle name="Followed Hyperlink" xfId="651" hidden="1" builtinId="9"/>
    <cellStyle name="Followed Hyperlink" xfId="652" hidden="1" builtinId="9"/>
    <cellStyle name="Followed Hyperlink" xfId="653" hidden="1" builtinId="9"/>
    <cellStyle name="Followed Hyperlink" xfId="654" hidden="1" builtinId="9"/>
    <cellStyle name="Followed Hyperlink" xfId="655" hidden="1" builtinId="9"/>
    <cellStyle name="Followed Hyperlink" xfId="656" hidden="1" builtinId="9"/>
    <cellStyle name="Followed Hyperlink" xfId="657" hidden="1" builtinId="9"/>
    <cellStyle name="Followed Hyperlink" xfId="658" hidden="1" builtinId="9"/>
    <cellStyle name="Followed Hyperlink" xfId="659" hidden="1" builtinId="9"/>
    <cellStyle name="Followed Hyperlink" xfId="660" hidden="1" builtinId="9"/>
    <cellStyle name="Followed Hyperlink" xfId="661" hidden="1" builtinId="9"/>
    <cellStyle name="Followed Hyperlink" xfId="662" hidden="1" builtinId="9"/>
    <cellStyle name="Followed Hyperlink" xfId="663" hidden="1" builtinId="9"/>
    <cellStyle name="Followed Hyperlink" xfId="664" hidden="1" builtinId="9"/>
    <cellStyle name="Followed Hyperlink" xfId="665" hidden="1" builtinId="9"/>
    <cellStyle name="Followed Hyperlink" xfId="666" hidden="1" builtinId="9"/>
    <cellStyle name="Followed Hyperlink" xfId="667" hidden="1" builtinId="9"/>
    <cellStyle name="Followed Hyperlink" xfId="668" hidden="1" builtinId="9"/>
    <cellStyle name="Followed Hyperlink" xfId="669" hidden="1" builtinId="9"/>
    <cellStyle name="Followed Hyperlink" xfId="670" hidden="1" builtinId="9"/>
    <cellStyle name="Followed Hyperlink" xfId="671" hidden="1" builtinId="9"/>
    <cellStyle name="Followed Hyperlink" xfId="672" hidden="1" builtinId="9"/>
    <cellStyle name="Followed Hyperlink" xfId="673" hidden="1" builtinId="9"/>
    <cellStyle name="Followed Hyperlink" xfId="674" hidden="1" builtinId="9"/>
    <cellStyle name="Followed Hyperlink" xfId="675" hidden="1" builtinId="9"/>
    <cellStyle name="Followed Hyperlink" xfId="676" hidden="1" builtinId="9"/>
    <cellStyle name="Followed Hyperlink" xfId="677" hidden="1" builtinId="9"/>
    <cellStyle name="Followed Hyperlink" xfId="678" hidden="1" builtinId="9"/>
    <cellStyle name="Followed Hyperlink" xfId="679" hidden="1" builtinId="9"/>
    <cellStyle name="Followed Hyperlink" xfId="680" hidden="1" builtinId="9"/>
    <cellStyle name="Followed Hyperlink" xfId="681" hidden="1" builtinId="9"/>
    <cellStyle name="Followed Hyperlink" xfId="682" hidden="1" builtinId="9"/>
    <cellStyle name="Followed Hyperlink" xfId="683" hidden="1" builtinId="9"/>
    <cellStyle name="Followed Hyperlink" xfId="684" hidden="1" builtinId="9"/>
    <cellStyle name="Normal 10 7" xfId="685"/>
    <cellStyle name=" 3]_x000d__x000a_Zoomed=1_x000d__x000a_Row=0_x000d__x000a_Column=0_x000d__x000a_Height=300_x000d__x000a_Width=300_x000d__x000a_FontName=細明體_x000d__x000a_FontStyle=0_x000d__x000a_FontSize=9_x000d__x000a_PrtFontName=Co" xfId="686"/>
    <cellStyle name="_CNMD_Valuation Model_20081212_v2" xfId="687"/>
    <cellStyle name="_Comma" xfId="688"/>
    <cellStyle name="_Comps 4" xfId="689"/>
    <cellStyle name="_Cont Analysis" xfId="690"/>
    <cellStyle name="_Currency" xfId="691"/>
    <cellStyle name="_Currency_Analysis" xfId="692"/>
    <cellStyle name="_Currency_Smartportfolio model" xfId="693"/>
    <cellStyle name="_Currency_Smartportfolio model_DB-merged files" xfId="694"/>
    <cellStyle name="_CurrencySpace" xfId="695"/>
    <cellStyle name="_Gamma Valuation - 8" xfId="696"/>
    <cellStyle name="_ITRN" xfId="697"/>
    <cellStyle name="_Merger Model_KN&amp;Fzio_v2.30 - Street" xfId="698"/>
    <cellStyle name="_Multiple" xfId="699"/>
    <cellStyle name="_Multiple_Analysis" xfId="700"/>
    <cellStyle name="_Multiple_Analysis_DB-merged files" xfId="701"/>
    <cellStyle name="_Multiple_Smartportfolio model" xfId="702"/>
    <cellStyle name="_Multiple_Smartportfolio model_DB-merged files" xfId="703"/>
    <cellStyle name="_MultipleSpace" xfId="704"/>
    <cellStyle name="_MultipleSpace_Analysis" xfId="705"/>
    <cellStyle name="_MultipleSpace_csc" xfId="706"/>
    <cellStyle name="_MultipleSpace_Smartportfolio model" xfId="707"/>
    <cellStyle name="_MultipleSpace_Smartportfolio model_DB-merged files" xfId="708"/>
    <cellStyle name="_Percent" xfId="709"/>
    <cellStyle name="_Percent_Analysis" xfId="710"/>
    <cellStyle name="_Percent_Smartportfolio model" xfId="711"/>
    <cellStyle name="_Percent_Smartportfolio model_DB-merged files" xfId="712"/>
    <cellStyle name="_PercentSpace" xfId="713"/>
    <cellStyle name="_PercentSpace_Analysis" xfId="714"/>
    <cellStyle name="_PercentSpace_Smartportfolio model" xfId="715"/>
    <cellStyle name="_Sepracor Riders_Clean" xfId="716"/>
    <cellStyle name="_SIAL_Model_5.22.09 v71" xfId="717"/>
    <cellStyle name="-" xfId="718"/>
    <cellStyle name="-_Merger Model 17 Nov 04" xfId="719"/>
    <cellStyle name="(Heading)" xfId="720"/>
    <cellStyle name="(Lefting)" xfId="721"/>
    <cellStyle name="(z*¯_x000F_°(”,¯?À(¢,¯?Ð(°,¯?à(Â,¯?ð(Ô,¯?" xfId="722"/>
    <cellStyle name="******************************************" xfId="723"/>
    <cellStyle name="%" xfId="724"/>
    <cellStyle name="%.00" xfId="725"/>
    <cellStyle name="&lt;9#_x000F_¾Èƒé1ƒÃ_x0002_;M_x0014_}$‹E_x0010_‹_x0004_ˆ…Àt_x001B_Pÿ_x0015_ x¦" xfId="726"/>
    <cellStyle name="=C:\WINNT\SYSTEM32\COMMAND.COM" xfId="727"/>
    <cellStyle name="=C:\WINNT35\SYSTEM32\COMMAND.COM" xfId="728"/>
    <cellStyle name="$" xfId="729"/>
    <cellStyle name="$ &amp; ¢" xfId="730"/>
    <cellStyle name="£ BP" xfId="731"/>
    <cellStyle name="¥ JY" xfId="732"/>
    <cellStyle name="0752-93035" xfId="733"/>
    <cellStyle name="1,comma" xfId="734"/>
    <cellStyle name="10Q" xfId="735"/>
    <cellStyle name="20 % - Accent1" xfId="736"/>
    <cellStyle name="20 % - Accent2" xfId="737"/>
    <cellStyle name="20 % - Accent3" xfId="738"/>
    <cellStyle name="20 % - Accent4" xfId="739"/>
    <cellStyle name="20 % - Accent5" xfId="740"/>
    <cellStyle name="20 % - Accent6" xfId="741"/>
    <cellStyle name="20% - Accent1 2 10" xfId="742"/>
    <cellStyle name="20% - Accent1 2 2" xfId="743"/>
    <cellStyle name="20% - Accent1 2 2 2" xfId="744"/>
    <cellStyle name="20% - Accent1 2 2 3" xfId="745"/>
    <cellStyle name="20% - Accent1 2 3" xfId="746"/>
    <cellStyle name="20% - Accent1 2 3 2" xfId="747"/>
    <cellStyle name="20% - Accent1 2 4" xfId="748"/>
    <cellStyle name="20% - Accent1 2 5" xfId="749"/>
    <cellStyle name="20% - Accent1 2 6" xfId="750"/>
    <cellStyle name="20% - Accent1 2 7" xfId="751"/>
    <cellStyle name="20% - Accent1 2 8" xfId="752"/>
    <cellStyle name="20% - Accent1 2 9" xfId="753"/>
    <cellStyle name="20% - Accent1 3" xfId="754"/>
    <cellStyle name="20% - Accent1 3 2" xfId="755"/>
    <cellStyle name="20% - Accent1 3 2 2" xfId="756"/>
    <cellStyle name="20% - Accent1 3 2 2 2" xfId="757"/>
    <cellStyle name="20% - Accent1 3 2 2 2 2" xfId="758"/>
    <cellStyle name="20% - Accent1 3 2 2 3" xfId="759"/>
    <cellStyle name="20% - Accent1 3 2 3" xfId="760"/>
    <cellStyle name="20% - Accent1 3 2 3 2" xfId="761"/>
    <cellStyle name="20% - Accent1 3 2 4" xfId="762"/>
    <cellStyle name="20% - Accent1 3 3" xfId="763"/>
    <cellStyle name="20% - Accent1 3 3 2" xfId="764"/>
    <cellStyle name="20% - Accent1 3 3 2 2" xfId="765"/>
    <cellStyle name="20% - Accent1 3 3 2 2 2" xfId="766"/>
    <cellStyle name="20% - Accent1 3 3 2 3" xfId="767"/>
    <cellStyle name="20% - Accent1 3 3 3" xfId="768"/>
    <cellStyle name="20% - Accent1 3 3 3 2" xfId="769"/>
    <cellStyle name="20% - Accent1 3 3 4" xfId="770"/>
    <cellStyle name="20% - Accent1 3 4" xfId="771"/>
    <cellStyle name="20% - Accent1 3 4 2" xfId="772"/>
    <cellStyle name="20% - Accent1 3 4 2 2" xfId="773"/>
    <cellStyle name="20% - Accent1 3 4 3" xfId="774"/>
    <cellStyle name="20% - Accent1 3 5" xfId="775"/>
    <cellStyle name="20% - Accent1 3 5 2" xfId="776"/>
    <cellStyle name="20% - Accent1 3 6" xfId="777"/>
    <cellStyle name="20% - Accent1 4" xfId="778"/>
    <cellStyle name="20% - Accent1 5" xfId="779"/>
    <cellStyle name="20% - Accent1 6" xfId="780"/>
    <cellStyle name="20% - Accent1 7" xfId="781"/>
    <cellStyle name="20% - Accent1 8" xfId="782"/>
    <cellStyle name="20% - Accent1 9" xfId="783"/>
    <cellStyle name="20% - Accent2 2 10" xfId="784"/>
    <cellStyle name="20% - Accent2 2 2" xfId="785"/>
    <cellStyle name="20% - Accent2 2 2 2" xfId="786"/>
    <cellStyle name="20% - Accent2 2 2 3" xfId="787"/>
    <cellStyle name="20% - Accent2 2 3" xfId="788"/>
    <cellStyle name="20% - Accent2 2 3 2" xfId="789"/>
    <cellStyle name="20% - Accent2 2 4" xfId="790"/>
    <cellStyle name="20% - Accent2 2 5" xfId="791"/>
    <cellStyle name="20% - Accent2 2 6" xfId="792"/>
    <cellStyle name="20% - Accent2 2 7" xfId="793"/>
    <cellStyle name="20% - Accent2 2 8" xfId="794"/>
    <cellStyle name="20% - Accent2 2 9" xfId="795"/>
    <cellStyle name="20% - Accent2 3" xfId="796"/>
    <cellStyle name="20% - Accent2 3 2" xfId="797"/>
    <cellStyle name="20% - Accent2 3 2 2" xfId="798"/>
    <cellStyle name="20% - Accent2 3 2 2 2" xfId="799"/>
    <cellStyle name="20% - Accent2 3 2 2 2 2" xfId="800"/>
    <cellStyle name="20% - Accent2 3 2 2 3" xfId="801"/>
    <cellStyle name="20% - Accent2 3 2 3" xfId="802"/>
    <cellStyle name="20% - Accent2 3 2 3 2" xfId="803"/>
    <cellStyle name="20% - Accent2 3 2 4" xfId="804"/>
    <cellStyle name="20% - Accent2 3 3" xfId="805"/>
    <cellStyle name="20% - Accent2 3 3 2" xfId="806"/>
    <cellStyle name="20% - Accent2 3 3 2 2" xfId="807"/>
    <cellStyle name="20% - Accent2 3 3 2 2 2" xfId="808"/>
    <cellStyle name="20% - Accent2 3 3 2 3" xfId="809"/>
    <cellStyle name="20% - Accent2 3 3 3" xfId="810"/>
    <cellStyle name="20% - Accent2 3 3 3 2" xfId="811"/>
    <cellStyle name="20% - Accent2 3 3 4" xfId="812"/>
    <cellStyle name="20% - Accent2 3 4" xfId="813"/>
    <cellStyle name="20% - Accent2 3 4 2" xfId="814"/>
    <cellStyle name="20% - Accent2 3 4 2 2" xfId="815"/>
    <cellStyle name="20% - Accent2 3 4 3" xfId="816"/>
    <cellStyle name="20% - Accent2 3 5" xfId="817"/>
    <cellStyle name="20% - Accent2 3 5 2" xfId="818"/>
    <cellStyle name="20% - Accent2 3 6" xfId="819"/>
    <cellStyle name="20% - Accent2 4" xfId="820"/>
    <cellStyle name="20% - Accent2 5" xfId="821"/>
    <cellStyle name="20% - Accent2 6" xfId="822"/>
    <cellStyle name="20% - Accent2 7" xfId="823"/>
    <cellStyle name="20% - Accent2 8" xfId="824"/>
    <cellStyle name="20% - Accent2 9" xfId="825"/>
    <cellStyle name="20% - Accent3 2 10" xfId="826"/>
    <cellStyle name="20% - Accent3 2 2" xfId="827"/>
    <cellStyle name="20% - Accent3 2 2 2" xfId="828"/>
    <cellStyle name="20% - Accent3 2 2 3" xfId="829"/>
    <cellStyle name="20% - Accent3 2 3" xfId="830"/>
    <cellStyle name="20% - Accent3 2 3 2" xfId="831"/>
    <cellStyle name="20% - Accent3 2 4" xfId="832"/>
    <cellStyle name="20% - Accent3 2 5" xfId="833"/>
    <cellStyle name="20% - Accent3 2 6" xfId="834"/>
    <cellStyle name="20% - Accent3 2 7" xfId="835"/>
    <cellStyle name="20% - Accent3 2 8" xfId="836"/>
    <cellStyle name="20% - Accent3 2 9" xfId="837"/>
    <cellStyle name="20% - Accent3 3" xfId="838"/>
    <cellStyle name="20% - Accent3 3 2" xfId="839"/>
    <cellStyle name="20% - Accent3 3 2 2" xfId="840"/>
    <cellStyle name="20% - Accent3 3 2 2 2" xfId="841"/>
    <cellStyle name="20% - Accent3 3 2 2 2 2" xfId="842"/>
    <cellStyle name="20% - Accent3 3 2 2 3" xfId="843"/>
    <cellStyle name="20% - Accent3 3 2 3" xfId="844"/>
    <cellStyle name="20% - Accent3 3 2 3 2" xfId="845"/>
    <cellStyle name="20% - Accent3 3 2 4" xfId="846"/>
    <cellStyle name="20% - Accent3 3 3" xfId="847"/>
    <cellStyle name="20% - Accent3 3 3 2" xfId="848"/>
    <cellStyle name="20% - Accent3 3 3 2 2" xfId="849"/>
    <cellStyle name="20% - Accent3 3 3 2 2 2" xfId="850"/>
    <cellStyle name="20% - Accent3 3 3 2 3" xfId="851"/>
    <cellStyle name="20% - Accent3 3 3 3" xfId="852"/>
    <cellStyle name="20% - Accent3 3 3 3 2" xfId="853"/>
    <cellStyle name="20% - Accent3 3 3 4" xfId="854"/>
    <cellStyle name="20% - Accent3 3 4" xfId="855"/>
    <cellStyle name="20% - Accent3 3 4 2" xfId="856"/>
    <cellStyle name="20% - Accent3 3 4 2 2" xfId="857"/>
    <cellStyle name="20% - Accent3 3 4 3" xfId="858"/>
    <cellStyle name="20% - Accent3 3 5" xfId="859"/>
    <cellStyle name="20% - Accent3 3 5 2" xfId="860"/>
    <cellStyle name="20% - Accent3 3 6" xfId="861"/>
    <cellStyle name="20% - Accent3 4" xfId="862"/>
    <cellStyle name="20% - Accent3 5" xfId="863"/>
    <cellStyle name="20% - Accent3 6" xfId="864"/>
    <cellStyle name="20% - Accent3 7" xfId="865"/>
    <cellStyle name="20% - Accent3 8" xfId="866"/>
    <cellStyle name="20% - Accent3 9" xfId="867"/>
    <cellStyle name="20% - Accent4 2 10" xfId="868"/>
    <cellStyle name="20% - Accent4 2 2" xfId="869"/>
    <cellStyle name="20% - Accent4 2 2 2" xfId="870"/>
    <cellStyle name="20% - Accent4 2 2 3" xfId="871"/>
    <cellStyle name="20% - Accent4 2 3" xfId="872"/>
    <cellStyle name="20% - Accent4 2 3 2" xfId="873"/>
    <cellStyle name="20% - Accent4 2 4" xfId="874"/>
    <cellStyle name="20% - Accent4 2 5" xfId="875"/>
    <cellStyle name="20% - Accent4 2 6" xfId="876"/>
    <cellStyle name="20% - Accent4 2 7" xfId="877"/>
    <cellStyle name="20% - Accent4 2 8" xfId="878"/>
    <cellStyle name="20% - Accent4 2 9" xfId="879"/>
    <cellStyle name="20% - Accent4 3" xfId="880"/>
    <cellStyle name="20% - Accent4 3 2" xfId="881"/>
    <cellStyle name="20% - Accent4 3 2 2" xfId="882"/>
    <cellStyle name="20% - Accent4 3 2 2 2" xfId="883"/>
    <cellStyle name="20% - Accent4 3 2 2 2 2" xfId="884"/>
    <cellStyle name="20% - Accent4 3 2 2 3" xfId="885"/>
    <cellStyle name="20% - Accent4 3 2 3" xfId="886"/>
    <cellStyle name="20% - Accent4 3 2 3 2" xfId="887"/>
    <cellStyle name="20% - Accent4 3 2 4" xfId="888"/>
    <cellStyle name="20% - Accent4 3 3" xfId="889"/>
    <cellStyle name="20% - Accent4 3 3 2" xfId="890"/>
    <cellStyle name="20% - Accent4 3 3 2 2" xfId="891"/>
    <cellStyle name="20% - Accent4 3 3 2 2 2" xfId="892"/>
    <cellStyle name="20% - Accent4 3 3 2 3" xfId="893"/>
    <cellStyle name="20% - Accent4 3 3 3" xfId="894"/>
    <cellStyle name="20% - Accent4 3 3 3 2" xfId="895"/>
    <cellStyle name="20% - Accent4 3 3 4" xfId="896"/>
    <cellStyle name="20% - Accent4 3 4" xfId="897"/>
    <cellStyle name="20% - Accent4 3 4 2" xfId="898"/>
    <cellStyle name="20% - Accent4 3 4 2 2" xfId="899"/>
    <cellStyle name="20% - Accent4 3 4 3" xfId="900"/>
    <cellStyle name="20% - Accent4 3 5" xfId="901"/>
    <cellStyle name="20% - Accent4 3 5 2" xfId="902"/>
    <cellStyle name="20% - Accent4 3 6" xfId="903"/>
    <cellStyle name="20% - Accent4 4" xfId="904"/>
    <cellStyle name="20% - Accent4 5" xfId="905"/>
    <cellStyle name="20% - Accent4 6" xfId="906"/>
    <cellStyle name="20% - Accent4 7" xfId="907"/>
    <cellStyle name="20% - Accent4 8" xfId="908"/>
    <cellStyle name="20% - Accent4 9" xfId="909"/>
    <cellStyle name="20% - Accent5 2 10" xfId="910"/>
    <cellStyle name="20% - Accent5 2 2" xfId="911"/>
    <cellStyle name="20% - Accent5 2 2 2" xfId="912"/>
    <cellStyle name="20% - Accent5 2 2 3" xfId="913"/>
    <cellStyle name="20% - Accent5 2 3" xfId="914"/>
    <cellStyle name="20% - Accent5 2 3 2" xfId="915"/>
    <cellStyle name="20% - Accent5 2 4" xfId="916"/>
    <cellStyle name="20% - Accent5 2 5" xfId="917"/>
    <cellStyle name="20% - Accent5 2 6" xfId="918"/>
    <cellStyle name="20% - Accent5 2 7" xfId="919"/>
    <cellStyle name="20% - Accent5 2 8" xfId="920"/>
    <cellStyle name="20% - Accent5 2 9" xfId="921"/>
    <cellStyle name="20% - Accent5 3" xfId="922"/>
    <cellStyle name="20% - Accent5 3 2" xfId="923"/>
    <cellStyle name="20% - Accent5 3 2 2" xfId="924"/>
    <cellStyle name="20% - Accent5 3 2 2 2" xfId="925"/>
    <cellStyle name="20% - Accent5 3 2 2 2 2" xfId="926"/>
    <cellStyle name="20% - Accent5 3 2 2 3" xfId="927"/>
    <cellStyle name="20% - Accent5 3 2 3" xfId="928"/>
    <cellStyle name="20% - Accent5 3 2 3 2" xfId="929"/>
    <cellStyle name="20% - Accent5 3 2 4" xfId="930"/>
    <cellStyle name="20% - Accent5 3 3" xfId="931"/>
    <cellStyle name="20% - Accent5 3 3 2" xfId="932"/>
    <cellStyle name="20% - Accent5 3 3 2 2" xfId="933"/>
    <cellStyle name="20% - Accent5 3 3 2 2 2" xfId="934"/>
    <cellStyle name="20% - Accent5 3 3 2 3" xfId="935"/>
    <cellStyle name="20% - Accent5 3 3 3" xfId="936"/>
    <cellStyle name="20% - Accent5 3 3 3 2" xfId="937"/>
    <cellStyle name="20% - Accent5 3 3 4" xfId="938"/>
    <cellStyle name="20% - Accent5 3 4" xfId="939"/>
    <cellStyle name="20% - Accent5 3 4 2" xfId="940"/>
    <cellStyle name="20% - Accent5 3 4 2 2" xfId="941"/>
    <cellStyle name="20% - Accent5 3 4 3" xfId="942"/>
    <cellStyle name="20% - Accent5 3 5" xfId="943"/>
    <cellStyle name="20% - Accent5 3 5 2" xfId="944"/>
    <cellStyle name="20% - Accent5 3 6" xfId="945"/>
    <cellStyle name="20% - Accent5 4" xfId="946"/>
    <cellStyle name="20% - Accent5 5" xfId="947"/>
    <cellStyle name="20% - Accent5 6" xfId="948"/>
    <cellStyle name="20% - Accent5 7" xfId="949"/>
    <cellStyle name="20% - Accent5 8" xfId="950"/>
    <cellStyle name="20% - Accent5 9" xfId="951"/>
    <cellStyle name="20% - Accent6 2 10" xfId="952"/>
    <cellStyle name="20% - Accent6 2 2" xfId="953"/>
    <cellStyle name="20% - Accent6 2 2 2" xfId="954"/>
    <cellStyle name="20% - Accent6 2 2 3" xfId="955"/>
    <cellStyle name="20% - Accent6 2 3" xfId="956"/>
    <cellStyle name="20% - Accent6 2 3 2" xfId="957"/>
    <cellStyle name="20% - Accent6 2 4" xfId="958"/>
    <cellStyle name="20% - Accent6 2 5" xfId="959"/>
    <cellStyle name="20% - Accent6 2 6" xfId="960"/>
    <cellStyle name="20% - Accent6 2 7" xfId="961"/>
    <cellStyle name="20% - Accent6 2 8" xfId="962"/>
    <cellStyle name="20% - Accent6 2 9" xfId="963"/>
    <cellStyle name="20% - Accent6 3" xfId="964"/>
    <cellStyle name="20% - Accent6 3 2" xfId="965"/>
    <cellStyle name="20% - Accent6 3 2 2" xfId="966"/>
    <cellStyle name="20% - Accent6 3 2 2 2" xfId="967"/>
    <cellStyle name="20% - Accent6 3 2 2 2 2" xfId="968"/>
    <cellStyle name="20% - Accent6 3 2 2 3" xfId="969"/>
    <cellStyle name="20% - Accent6 3 2 3" xfId="970"/>
    <cellStyle name="20% - Accent6 3 2 3 2" xfId="971"/>
    <cellStyle name="20% - Accent6 3 2 4" xfId="972"/>
    <cellStyle name="20% - Accent6 3 3" xfId="973"/>
    <cellStyle name="20% - Accent6 3 3 2" xfId="974"/>
    <cellStyle name="20% - Accent6 3 3 2 2" xfId="975"/>
    <cellStyle name="20% - Accent6 3 3 2 2 2" xfId="976"/>
    <cellStyle name="20% - Accent6 3 3 2 3" xfId="977"/>
    <cellStyle name="20% - Accent6 3 3 3" xfId="978"/>
    <cellStyle name="20% - Accent6 3 3 3 2" xfId="979"/>
    <cellStyle name="20% - Accent6 3 3 4" xfId="980"/>
    <cellStyle name="20% - Accent6 3 4" xfId="981"/>
    <cellStyle name="20% - Accent6 3 4 2" xfId="982"/>
    <cellStyle name="20% - Accent6 3 4 2 2" xfId="983"/>
    <cellStyle name="20% - Accent6 3 4 3" xfId="984"/>
    <cellStyle name="20% - Accent6 3 5" xfId="985"/>
    <cellStyle name="20% - Accent6 3 5 2" xfId="986"/>
    <cellStyle name="20% - Accent6 3 6" xfId="987"/>
    <cellStyle name="20% - Accent6 4" xfId="988"/>
    <cellStyle name="20% - Accent6 5" xfId="989"/>
    <cellStyle name="20% - Accent6 6" xfId="990"/>
    <cellStyle name="20% - Accent6 7" xfId="991"/>
    <cellStyle name="20% - Accent6 8" xfId="992"/>
    <cellStyle name="20% - Accent6 9" xfId="993"/>
    <cellStyle name="40 % - Accent1" xfId="994"/>
    <cellStyle name="40 % - Accent2" xfId="995"/>
    <cellStyle name="40 % - Accent3" xfId="996"/>
    <cellStyle name="40 % - Accent4" xfId="997"/>
    <cellStyle name="40 % - Accent5" xfId="998"/>
    <cellStyle name="40 % - Accent6" xfId="999"/>
    <cellStyle name="40% - Accent1 2 10" xfId="1000"/>
    <cellStyle name="40% - Accent1 2 2" xfId="1001"/>
    <cellStyle name="40% - Accent1 2 2 2" xfId="1002"/>
    <cellStyle name="40% - Accent1 2 2 3" xfId="1003"/>
    <cellStyle name="40% - Accent1 2 3" xfId="1004"/>
    <cellStyle name="40% - Accent1 2 3 2" xfId="1005"/>
    <cellStyle name="40% - Accent1 2 4" xfId="1006"/>
    <cellStyle name="40% - Accent1 2 5" xfId="1007"/>
    <cellStyle name="40% - Accent1 2 6" xfId="1008"/>
    <cellStyle name="40% - Accent1 2 7" xfId="1009"/>
    <cellStyle name="40% - Accent1 2 8" xfId="1010"/>
    <cellStyle name="40% - Accent1 2 9" xfId="1011"/>
    <cellStyle name="40% - Accent1 3" xfId="1012"/>
    <cellStyle name="40% - Accent1 3 2" xfId="1013"/>
    <cellStyle name="40% - Accent1 3 2 2" xfId="1014"/>
    <cellStyle name="40% - Accent1 3 2 2 2" xfId="1015"/>
    <cellStyle name="40% - Accent1 3 2 2 2 2" xfId="1016"/>
    <cellStyle name="40% - Accent1 3 2 2 3" xfId="1017"/>
    <cellStyle name="40% - Accent1 3 2 3" xfId="1018"/>
    <cellStyle name="40% - Accent1 3 2 3 2" xfId="1019"/>
    <cellStyle name="40% - Accent1 3 2 4" xfId="1020"/>
    <cellStyle name="40% - Accent1 3 3" xfId="1021"/>
    <cellStyle name="40% - Accent1 3 3 2" xfId="1022"/>
    <cellStyle name="40% - Accent1 3 3 2 2" xfId="1023"/>
    <cellStyle name="40% - Accent1 3 3 2 2 2" xfId="1024"/>
    <cellStyle name="40% - Accent1 3 3 2 3" xfId="1025"/>
    <cellStyle name="40% - Accent1 3 3 3" xfId="1026"/>
    <cellStyle name="40% - Accent1 3 3 3 2" xfId="1027"/>
    <cellStyle name="40% - Accent1 3 3 4" xfId="1028"/>
    <cellStyle name="40% - Accent1 3 4" xfId="1029"/>
    <cellStyle name="40% - Accent1 3 4 2" xfId="1030"/>
    <cellStyle name="40% - Accent1 3 4 2 2" xfId="1031"/>
    <cellStyle name="40% - Accent1 3 4 3" xfId="1032"/>
    <cellStyle name="40% - Accent1 3 5" xfId="1033"/>
    <cellStyle name="40% - Accent1 3 5 2" xfId="1034"/>
    <cellStyle name="40% - Accent1 3 6" xfId="1035"/>
    <cellStyle name="40% - Accent1 4" xfId="1036"/>
    <cellStyle name="40% - Accent1 5" xfId="1037"/>
    <cellStyle name="40% - Accent1 6" xfId="1038"/>
    <cellStyle name="40% - Accent1 7" xfId="1039"/>
    <cellStyle name="40% - Accent1 8" xfId="1040"/>
    <cellStyle name="40% - Accent1 9" xfId="1041"/>
    <cellStyle name="40% - Accent2 2 10" xfId="1042"/>
    <cellStyle name="40% - Accent2 2 2" xfId="1043"/>
    <cellStyle name="40% - Accent2 2 2 2" xfId="1044"/>
    <cellStyle name="40% - Accent2 2 2 3" xfId="1045"/>
    <cellStyle name="40% - Accent2 2 3" xfId="1046"/>
    <cellStyle name="40% - Accent2 2 3 2" xfId="1047"/>
    <cellStyle name="40% - Accent2 2 4" xfId="1048"/>
    <cellStyle name="40% - Accent2 2 5" xfId="1049"/>
    <cellStyle name="40% - Accent2 2 6" xfId="1050"/>
    <cellStyle name="40% - Accent2 2 7" xfId="1051"/>
    <cellStyle name="40% - Accent2 2 8" xfId="1052"/>
    <cellStyle name="40% - Accent2 2 9" xfId="1053"/>
    <cellStyle name="40% - Accent2 3" xfId="1054"/>
    <cellStyle name="40% - Accent2 3 2" xfId="1055"/>
    <cellStyle name="40% - Accent2 3 2 2" xfId="1056"/>
    <cellStyle name="40% - Accent2 3 2 2 2" xfId="1057"/>
    <cellStyle name="40% - Accent2 3 2 2 2 2" xfId="1058"/>
    <cellStyle name="40% - Accent2 3 2 2 3" xfId="1059"/>
    <cellStyle name="40% - Accent2 3 2 3" xfId="1060"/>
    <cellStyle name="40% - Accent2 3 2 3 2" xfId="1061"/>
    <cellStyle name="40% - Accent2 3 2 4" xfId="1062"/>
    <cellStyle name="40% - Accent2 3 3" xfId="1063"/>
    <cellStyle name="40% - Accent2 3 3 2" xfId="1064"/>
    <cellStyle name="40% - Accent2 3 3 2 2" xfId="1065"/>
    <cellStyle name="40% - Accent2 3 3 2 2 2" xfId="1066"/>
    <cellStyle name="40% - Accent2 3 3 2 3" xfId="1067"/>
    <cellStyle name="40% - Accent2 3 3 3" xfId="1068"/>
    <cellStyle name="40% - Accent2 3 3 3 2" xfId="1069"/>
    <cellStyle name="40% - Accent2 3 3 4" xfId="1070"/>
    <cellStyle name="40% - Accent2 3 4" xfId="1071"/>
    <cellStyle name="40% - Accent2 3 4 2" xfId="1072"/>
    <cellStyle name="40% - Accent2 3 4 2 2" xfId="1073"/>
    <cellStyle name="40% - Accent2 3 4 3" xfId="1074"/>
    <cellStyle name="40% - Accent2 3 5" xfId="1075"/>
    <cellStyle name="40% - Accent2 3 5 2" xfId="1076"/>
    <cellStyle name="40% - Accent2 3 6" xfId="1077"/>
    <cellStyle name="40% - Accent2 4" xfId="1078"/>
    <cellStyle name="40% - Accent2 5" xfId="1079"/>
    <cellStyle name="40% - Accent2 6" xfId="1080"/>
    <cellStyle name="40% - Accent2 7" xfId="1081"/>
    <cellStyle name="40% - Accent2 8" xfId="1082"/>
    <cellStyle name="40% - Accent2 9" xfId="1083"/>
    <cellStyle name="40% - Accent3 2 10" xfId="1084"/>
    <cellStyle name="40% - Accent3 2 2" xfId="1085"/>
    <cellStyle name="40% - Accent3 2 2 2" xfId="1086"/>
    <cellStyle name="40% - Accent3 2 2 3" xfId="1087"/>
    <cellStyle name="40% - Accent3 2 3" xfId="1088"/>
    <cellStyle name="40% - Accent3 2 3 2" xfId="1089"/>
    <cellStyle name="40% - Accent3 2 4" xfId="1090"/>
    <cellStyle name="40% - Accent3 2 5" xfId="1091"/>
    <cellStyle name="40% - Accent3 2 6" xfId="1092"/>
    <cellStyle name="40% - Accent3 2 7" xfId="1093"/>
    <cellStyle name="40% - Accent3 2 8" xfId="1094"/>
    <cellStyle name="40% - Accent3 2 9" xfId="1095"/>
    <cellStyle name="40% - Accent3 3" xfId="1096"/>
    <cellStyle name="40% - Accent3 3 2" xfId="1097"/>
    <cellStyle name="40% - Accent3 3 2 2" xfId="1098"/>
    <cellStyle name="40% - Accent3 3 2 2 2" xfId="1099"/>
    <cellStyle name="40% - Accent3 3 2 2 2 2" xfId="1100"/>
    <cellStyle name="40% - Accent3 3 2 2 3" xfId="1101"/>
    <cellStyle name="40% - Accent3 3 2 3" xfId="1102"/>
    <cellStyle name="40% - Accent3 3 2 3 2" xfId="1103"/>
    <cellStyle name="40% - Accent3 3 2 4" xfId="1104"/>
    <cellStyle name="40% - Accent3 3 3" xfId="1105"/>
    <cellStyle name="40% - Accent3 3 3 2" xfId="1106"/>
    <cellStyle name="40% - Accent3 3 3 2 2" xfId="1107"/>
    <cellStyle name="40% - Accent3 3 3 2 2 2" xfId="1108"/>
    <cellStyle name="40% - Accent3 3 3 2 3" xfId="1109"/>
    <cellStyle name="40% - Accent3 3 3 3" xfId="1110"/>
    <cellStyle name="40% - Accent3 3 3 3 2" xfId="1111"/>
    <cellStyle name="40% - Accent3 3 3 4" xfId="1112"/>
    <cellStyle name="40% - Accent3 3 4" xfId="1113"/>
    <cellStyle name="40% - Accent3 3 4 2" xfId="1114"/>
    <cellStyle name="40% - Accent3 3 4 2 2" xfId="1115"/>
    <cellStyle name="40% - Accent3 3 4 3" xfId="1116"/>
    <cellStyle name="40% - Accent3 3 5" xfId="1117"/>
    <cellStyle name="40% - Accent3 3 5 2" xfId="1118"/>
    <cellStyle name="40% - Accent3 3 6" xfId="1119"/>
    <cellStyle name="40% - Accent3 4" xfId="1120"/>
    <cellStyle name="40% - Accent3 5" xfId="1121"/>
    <cellStyle name="40% - Accent3 6" xfId="1122"/>
    <cellStyle name="40% - Accent3 7" xfId="1123"/>
    <cellStyle name="40% - Accent3 8" xfId="1124"/>
    <cellStyle name="40% - Accent3 9" xfId="1125"/>
    <cellStyle name="40% - Accent4 2 10" xfId="1126"/>
    <cellStyle name="40% - Accent4 2 2" xfId="1127"/>
    <cellStyle name="40% - Accent4 2 2 2" xfId="1128"/>
    <cellStyle name="40% - Accent4 2 2 3" xfId="1129"/>
    <cellStyle name="40% - Accent4 2 3" xfId="1130"/>
    <cellStyle name="40% - Accent4 2 3 2" xfId="1131"/>
    <cellStyle name="40% - Accent4 2 4" xfId="1132"/>
    <cellStyle name="40% - Accent4 2 5" xfId="1133"/>
    <cellStyle name="40% - Accent4 2 6" xfId="1134"/>
    <cellStyle name="40% - Accent4 2 7" xfId="1135"/>
    <cellStyle name="40% - Accent4 2 8" xfId="1136"/>
    <cellStyle name="40% - Accent4 2 9" xfId="1137"/>
    <cellStyle name="40% - Accent4 3" xfId="1138"/>
    <cellStyle name="40% - Accent4 3 2" xfId="1139"/>
    <cellStyle name="40% - Accent4 3 2 2" xfId="1140"/>
    <cellStyle name="40% - Accent4 3 2 2 2" xfId="1141"/>
    <cellStyle name="40% - Accent4 3 2 2 2 2" xfId="1142"/>
    <cellStyle name="40% - Accent4 3 2 2 3" xfId="1143"/>
    <cellStyle name="40% - Accent4 3 2 3" xfId="1144"/>
    <cellStyle name="40% - Accent4 3 2 3 2" xfId="1145"/>
    <cellStyle name="40% - Accent4 3 2 4" xfId="1146"/>
    <cellStyle name="40% - Accent4 3 3" xfId="1147"/>
    <cellStyle name="40% - Accent4 3 3 2" xfId="1148"/>
    <cellStyle name="40% - Accent4 3 3 2 2" xfId="1149"/>
    <cellStyle name="40% - Accent4 3 3 2 2 2" xfId="1150"/>
    <cellStyle name="40% - Accent4 3 3 2 3" xfId="1151"/>
    <cellStyle name="40% - Accent4 3 3 3" xfId="1152"/>
    <cellStyle name="40% - Accent4 3 3 3 2" xfId="1153"/>
    <cellStyle name="40% - Accent4 3 3 4" xfId="1154"/>
    <cellStyle name="40% - Accent4 3 4" xfId="1155"/>
    <cellStyle name="40% - Accent4 3 4 2" xfId="1156"/>
    <cellStyle name="40% - Accent4 3 4 2 2" xfId="1157"/>
    <cellStyle name="40% - Accent4 3 4 3" xfId="1158"/>
    <cellStyle name="40% - Accent4 3 5" xfId="1159"/>
    <cellStyle name="40% - Accent4 3 5 2" xfId="1160"/>
    <cellStyle name="40% - Accent4 3 6" xfId="1161"/>
    <cellStyle name="40% - Accent4 4" xfId="1162"/>
    <cellStyle name="40% - Accent4 5" xfId="1163"/>
    <cellStyle name="40% - Accent4 6" xfId="1164"/>
    <cellStyle name="40% - Accent4 7" xfId="1165"/>
    <cellStyle name="40% - Accent4 8" xfId="1166"/>
    <cellStyle name="40% - Accent4 9" xfId="1167"/>
    <cellStyle name="40% - Accent5 2 10" xfId="1168"/>
    <cellStyle name="40% - Accent5 2 2" xfId="1169"/>
    <cellStyle name="40% - Accent5 2 2 2" xfId="1170"/>
    <cellStyle name="40% - Accent5 2 2 3" xfId="1171"/>
    <cellStyle name="40% - Accent5 2 3" xfId="1172"/>
    <cellStyle name="40% - Accent5 2 3 2" xfId="1173"/>
    <cellStyle name="40% - Accent5 2 4" xfId="1174"/>
    <cellStyle name="40% - Accent5 2 5" xfId="1175"/>
    <cellStyle name="40% - Accent5 2 6" xfId="1176"/>
    <cellStyle name="40% - Accent5 2 7" xfId="1177"/>
    <cellStyle name="40% - Accent5 2 8" xfId="1178"/>
    <cellStyle name="40% - Accent5 2 9" xfId="1179"/>
    <cellStyle name="40% - Accent5 3" xfId="1180"/>
    <cellStyle name="40% - Accent5 3 2" xfId="1181"/>
    <cellStyle name="40% - Accent5 3 2 2" xfId="1182"/>
    <cellStyle name="40% - Accent5 3 2 2 2" xfId="1183"/>
    <cellStyle name="40% - Accent5 3 2 2 2 2" xfId="1184"/>
    <cellStyle name="40% - Accent5 3 2 2 3" xfId="1185"/>
    <cellStyle name="40% - Accent5 3 2 3" xfId="1186"/>
    <cellStyle name="40% - Accent5 3 2 3 2" xfId="1187"/>
    <cellStyle name="40% - Accent5 3 2 4" xfId="1188"/>
    <cellStyle name="40% - Accent5 3 3" xfId="1189"/>
    <cellStyle name="40% - Accent5 3 3 2" xfId="1190"/>
    <cellStyle name="40% - Accent5 3 3 2 2" xfId="1191"/>
    <cellStyle name="40% - Accent5 3 3 2 2 2" xfId="1192"/>
    <cellStyle name="40% - Accent5 3 3 2 3" xfId="1193"/>
    <cellStyle name="40% - Accent5 3 3 3" xfId="1194"/>
    <cellStyle name="40% - Accent5 3 3 3 2" xfId="1195"/>
    <cellStyle name="40% - Accent5 3 3 4" xfId="1196"/>
    <cellStyle name="40% - Accent5 3 4" xfId="1197"/>
    <cellStyle name="40% - Accent5 3 4 2" xfId="1198"/>
    <cellStyle name="40% - Accent5 3 4 2 2" xfId="1199"/>
    <cellStyle name="40% - Accent5 3 4 3" xfId="1200"/>
    <cellStyle name="40% - Accent5 3 5" xfId="1201"/>
    <cellStyle name="40% - Accent5 3 5 2" xfId="1202"/>
    <cellStyle name="40% - Accent5 3 6" xfId="1203"/>
    <cellStyle name="40% - Accent5 4" xfId="1204"/>
    <cellStyle name="40% - Accent5 5" xfId="1205"/>
    <cellStyle name="40% - Accent5 6" xfId="1206"/>
    <cellStyle name="40% - Accent5 7" xfId="1207"/>
    <cellStyle name="40% - Accent5 8" xfId="1208"/>
    <cellStyle name="40% - Accent5 9" xfId="1209"/>
    <cellStyle name="40% - Accent6 2 10" xfId="1210"/>
    <cellStyle name="40% - Accent6 2 2" xfId="1211"/>
    <cellStyle name="40% - Accent6 2 2 2" xfId="1212"/>
    <cellStyle name="40% - Accent6 2 2 3" xfId="1213"/>
    <cellStyle name="40% - Accent6 2 3" xfId="1214"/>
    <cellStyle name="40% - Accent6 2 3 2" xfId="1215"/>
    <cellStyle name="40% - Accent6 2 4" xfId="1216"/>
    <cellStyle name="40% - Accent6 2 5" xfId="1217"/>
    <cellStyle name="40% - Accent6 2 6" xfId="1218"/>
    <cellStyle name="40% - Accent6 2 7" xfId="1219"/>
    <cellStyle name="40% - Accent6 2 8" xfId="1220"/>
    <cellStyle name="40% - Accent6 2 9" xfId="1221"/>
    <cellStyle name="40% - Accent6 3" xfId="1222"/>
    <cellStyle name="40% - Accent6 3 2" xfId="1223"/>
    <cellStyle name="40% - Accent6 3 2 2" xfId="1224"/>
    <cellStyle name="40% - Accent6 3 2 2 2" xfId="1225"/>
    <cellStyle name="40% - Accent6 3 2 2 2 2" xfId="1226"/>
    <cellStyle name="40% - Accent6 3 2 2 3" xfId="1227"/>
    <cellStyle name="40% - Accent6 3 2 3" xfId="1228"/>
    <cellStyle name="40% - Accent6 3 2 3 2" xfId="1229"/>
    <cellStyle name="40% - Accent6 3 2 4" xfId="1230"/>
    <cellStyle name="40% - Accent6 3 3" xfId="1231"/>
    <cellStyle name="40% - Accent6 3 3 2" xfId="1232"/>
    <cellStyle name="40% - Accent6 3 3 2 2" xfId="1233"/>
    <cellStyle name="40% - Accent6 3 3 2 2 2" xfId="1234"/>
    <cellStyle name="40% - Accent6 3 3 2 3" xfId="1235"/>
    <cellStyle name="40% - Accent6 3 3 3" xfId="1236"/>
    <cellStyle name="40% - Accent6 3 3 3 2" xfId="1237"/>
    <cellStyle name="40% - Accent6 3 3 4" xfId="1238"/>
    <cellStyle name="40% - Accent6 3 4" xfId="1239"/>
    <cellStyle name="40% - Accent6 3 4 2" xfId="1240"/>
    <cellStyle name="40% - Accent6 3 4 2 2" xfId="1241"/>
    <cellStyle name="40% - Accent6 3 4 3" xfId="1242"/>
    <cellStyle name="40% - Accent6 3 5" xfId="1243"/>
    <cellStyle name="40% - Accent6 3 5 2" xfId="1244"/>
    <cellStyle name="40% - Accent6 3 6" xfId="1245"/>
    <cellStyle name="40% - Accent6 4" xfId="1246"/>
    <cellStyle name="40% - Accent6 5" xfId="1247"/>
    <cellStyle name="40% - Accent6 6" xfId="1248"/>
    <cellStyle name="40% - Accent6 7" xfId="1249"/>
    <cellStyle name="40% - Accent6 8" xfId="1250"/>
    <cellStyle name="40% - Accent6 9" xfId="1251"/>
    <cellStyle name="60 % - Accent1" xfId="1252"/>
    <cellStyle name="60 % - Accent2" xfId="1253"/>
    <cellStyle name="60 % - Accent3" xfId="1254"/>
    <cellStyle name="60 % - Accent4" xfId="1255"/>
    <cellStyle name="60 % - Accent5" xfId="1256"/>
    <cellStyle name="60 % - Accent6" xfId="1257"/>
    <cellStyle name="60% - Accent1 2 2" xfId="1258"/>
    <cellStyle name="60% - Accent1 2 3" xfId="1259"/>
    <cellStyle name="60% - Accent1 2 4" xfId="1260"/>
    <cellStyle name="60% - Accent1 2 5" xfId="1261"/>
    <cellStyle name="60% - Accent1 2 6" xfId="1262"/>
    <cellStyle name="60% - Accent1 2 7" xfId="1263"/>
    <cellStyle name="60% - Accent1 2 8" xfId="1264"/>
    <cellStyle name="60% - Accent1 2 9" xfId="1265"/>
    <cellStyle name="60% - Accent1 3" xfId="1266"/>
    <cellStyle name="60% - Accent2 2 2" xfId="1267"/>
    <cellStyle name="60% - Accent2 2 3" xfId="1268"/>
    <cellStyle name="60% - Accent2 2 4" xfId="1269"/>
    <cellStyle name="60% - Accent2 2 5" xfId="1270"/>
    <cellStyle name="60% - Accent2 2 6" xfId="1271"/>
    <cellStyle name="60% - Accent2 2 7" xfId="1272"/>
    <cellStyle name="60% - Accent2 2 8" xfId="1273"/>
    <cellStyle name="60% - Accent2 2 9" xfId="1274"/>
    <cellStyle name="60% - Accent2 3" xfId="1275"/>
    <cellStyle name="60% - Accent3 2 2" xfId="1276"/>
    <cellStyle name="60% - Accent3 2 3" xfId="1277"/>
    <cellStyle name="60% - Accent3 2 4" xfId="1278"/>
    <cellStyle name="60% - Accent3 2 5" xfId="1279"/>
    <cellStyle name="60% - Accent3 2 6" xfId="1280"/>
    <cellStyle name="60% - Accent3 2 7" xfId="1281"/>
    <cellStyle name="60% - Accent3 2 8" xfId="1282"/>
    <cellStyle name="60% - Accent3 2 9" xfId="1283"/>
    <cellStyle name="60% - Accent3 3" xfId="1284"/>
    <cellStyle name="60% - Accent4 2 2" xfId="1285"/>
    <cellStyle name="60% - Accent4 2 3" xfId="1286"/>
    <cellStyle name="60% - Accent4 2 4" xfId="1287"/>
    <cellStyle name="60% - Accent4 2 5" xfId="1288"/>
    <cellStyle name="60% - Accent4 2 6" xfId="1289"/>
    <cellStyle name="60% - Accent4 2 7" xfId="1290"/>
    <cellStyle name="60% - Accent4 2 8" xfId="1291"/>
    <cellStyle name="60% - Accent4 2 9" xfId="1292"/>
    <cellStyle name="60% - Accent4 3" xfId="1293"/>
    <cellStyle name="60% - Accent5 2 2" xfId="1294"/>
    <cellStyle name="60% - Accent5 2 3" xfId="1295"/>
    <cellStyle name="60% - Accent5 2 4" xfId="1296"/>
    <cellStyle name="60% - Accent5 2 5" xfId="1297"/>
    <cellStyle name="60% - Accent5 2 6" xfId="1298"/>
    <cellStyle name="60% - Accent5 2 7" xfId="1299"/>
    <cellStyle name="60% - Accent5 2 8" xfId="1300"/>
    <cellStyle name="60% - Accent5 2 9" xfId="1301"/>
    <cellStyle name="60% - Accent5 3" xfId="1302"/>
    <cellStyle name="60% - Accent6 2 2" xfId="1303"/>
    <cellStyle name="60% - Accent6 2 3" xfId="1304"/>
    <cellStyle name="60% - Accent6 2 4" xfId="1305"/>
    <cellStyle name="60% - Accent6 2 5" xfId="1306"/>
    <cellStyle name="60% - Accent6 2 6" xfId="1307"/>
    <cellStyle name="60% - Accent6 2 7" xfId="1308"/>
    <cellStyle name="60% - Accent6 2 8" xfId="1309"/>
    <cellStyle name="60% - Accent6 2 9" xfId="1310"/>
    <cellStyle name="60% - Accent6 3" xfId="1311"/>
    <cellStyle name="A%" xfId="1312"/>
    <cellStyle name="Accent1 2 2" xfId="1313"/>
    <cellStyle name="Accent1 2 3" xfId="1314"/>
    <cellStyle name="Accent1 2 4" xfId="1315"/>
    <cellStyle name="Accent1 2 5" xfId="1316"/>
    <cellStyle name="Accent1 2 6" xfId="1317"/>
    <cellStyle name="Accent1 2 7" xfId="1318"/>
    <cellStyle name="Accent1 2 8" xfId="1319"/>
    <cellStyle name="Accent1 2 9" xfId="1320"/>
    <cellStyle name="Accent1 3" xfId="1321"/>
    <cellStyle name="Accent2 2 2" xfId="1322"/>
    <cellStyle name="Accent2 2 3" xfId="1323"/>
    <cellStyle name="Accent2 2 4" xfId="1324"/>
    <cellStyle name="Accent2 2 5" xfId="1325"/>
    <cellStyle name="Accent2 2 6" xfId="1326"/>
    <cellStyle name="Accent2 2 7" xfId="1327"/>
    <cellStyle name="Accent2 2 8" xfId="1328"/>
    <cellStyle name="Accent2 2 9" xfId="1329"/>
    <cellStyle name="Accent2 3" xfId="1330"/>
    <cellStyle name="Accent3 2 2" xfId="1331"/>
    <cellStyle name="Accent3 2 3" xfId="1332"/>
    <cellStyle name="Accent3 2 4" xfId="1333"/>
    <cellStyle name="Accent3 2 5" xfId="1334"/>
    <cellStyle name="Accent3 2 6" xfId="1335"/>
    <cellStyle name="Accent3 2 7" xfId="1336"/>
    <cellStyle name="Accent3 2 8" xfId="1337"/>
    <cellStyle name="Accent3 2 9" xfId="1338"/>
    <cellStyle name="Accent3 3" xfId="1339"/>
    <cellStyle name="Accent4 2 2" xfId="1340"/>
    <cellStyle name="Accent4 2 3" xfId="1341"/>
    <cellStyle name="Accent4 2 4" xfId="1342"/>
    <cellStyle name="Accent4 2 5" xfId="1343"/>
    <cellStyle name="Accent4 2 6" xfId="1344"/>
    <cellStyle name="Accent4 2 7" xfId="1345"/>
    <cellStyle name="Accent4 2 8" xfId="1346"/>
    <cellStyle name="Accent4 2 9" xfId="1347"/>
    <cellStyle name="Accent4 3" xfId="1348"/>
    <cellStyle name="Accent5 2 2" xfId="1349"/>
    <cellStyle name="Accent5 2 3" xfId="1350"/>
    <cellStyle name="Accent5 2 4" xfId="1351"/>
    <cellStyle name="Accent5 2 5" xfId="1352"/>
    <cellStyle name="Accent5 2 6" xfId="1353"/>
    <cellStyle name="Accent5 2 7" xfId="1354"/>
    <cellStyle name="Accent5 2 8" xfId="1355"/>
    <cellStyle name="Accent5 2 9" xfId="1356"/>
    <cellStyle name="Accent5 3" xfId="1357"/>
    <cellStyle name="Accent6 2 2" xfId="1358"/>
    <cellStyle name="Accent6 2 3" xfId="1359"/>
    <cellStyle name="Accent6 2 4" xfId="1360"/>
    <cellStyle name="Accent6 2 5" xfId="1361"/>
    <cellStyle name="Accent6 2 6" xfId="1362"/>
    <cellStyle name="Accent6 2 7" xfId="1363"/>
    <cellStyle name="Accent6 2 8" xfId="1364"/>
    <cellStyle name="Accent6 2 9" xfId="1365"/>
    <cellStyle name="Accent6 3" xfId="1366"/>
    <cellStyle name="Accounting w/$" xfId="1367"/>
    <cellStyle name="Accounting w/$ Total" xfId="1368"/>
    <cellStyle name="Accounting w/o $" xfId="1369"/>
    <cellStyle name="Acinput" xfId="1370"/>
    <cellStyle name="Acinput,," xfId="1371"/>
    <cellStyle name="Acoutput" xfId="1372"/>
    <cellStyle name="Acoutput,," xfId="1373"/>
    <cellStyle name="Actual Date" xfId="1374"/>
    <cellStyle name="AFE" xfId="1375"/>
    <cellStyle name="al" xfId="1376"/>
    <cellStyle name="Amount_EQU_RIGH.XLS_Equity market_Preferred Securities " xfId="1377"/>
    <cellStyle name="Apershare" xfId="1378"/>
    <cellStyle name="Aprice" xfId="1379"/>
    <cellStyle name="ar" xfId="1380"/>
    <cellStyle name="Arial 10" xfId="1381"/>
    <cellStyle name="Arial 12" xfId="1382"/>
    <cellStyle name="Availability" xfId="1383"/>
    <cellStyle name="Avertissement" xfId="1384"/>
    <cellStyle name="Bad 2 2" xfId="1385"/>
    <cellStyle name="Bad 2 3" xfId="1386"/>
    <cellStyle name="Bad 2 4" xfId="1387"/>
    <cellStyle name="Bad 2 5" xfId="1388"/>
    <cellStyle name="Bad 2 6" xfId="1389"/>
    <cellStyle name="Bad 2 7" xfId="1390"/>
    <cellStyle name="Bad 2 8" xfId="1391"/>
    <cellStyle name="Bad 2 9" xfId="1392"/>
    <cellStyle name="Bad 3" xfId="1393"/>
    <cellStyle name="Band 2" xfId="1394"/>
    <cellStyle name="Blank" xfId="1395"/>
    <cellStyle name="Blue" xfId="1396"/>
    <cellStyle name="Bold/Border" xfId="1397"/>
    <cellStyle name="Border Heavy" xfId="1398"/>
    <cellStyle name="Border Thin" xfId="1399"/>
    <cellStyle name="Border, Bottom" xfId="1400"/>
    <cellStyle name="Border, Left" xfId="1401"/>
    <cellStyle name="Border, Right" xfId="1402"/>
    <cellStyle name="Border, Top" xfId="1403"/>
    <cellStyle name="British Pound" xfId="1404"/>
    <cellStyle name="BritPound" xfId="1405"/>
    <cellStyle name="Bullet" xfId="1406"/>
    <cellStyle name="Calc Currency (0)" xfId="1407"/>
    <cellStyle name="Calc Currency (2)" xfId="1408"/>
    <cellStyle name="Calc Percent (0)" xfId="1409"/>
    <cellStyle name="Calc Percent (1)" xfId="1410"/>
    <cellStyle name="Calc Percent (2)" xfId="1411"/>
    <cellStyle name="Calc Units (0)" xfId="1412"/>
    <cellStyle name="Calc Units (1)" xfId="1413"/>
    <cellStyle name="Calc Units (2)" xfId="1414"/>
    <cellStyle name="Calcul" xfId="1415"/>
    <cellStyle name="Calculation 2 4" xfId="1416"/>
    <cellStyle name="Calculation 2 5" xfId="1417"/>
    <cellStyle name="Calculation 2 6" xfId="1418"/>
    <cellStyle name="Calculation 2 7" xfId="1419"/>
    <cellStyle name="Calculation 2 8" xfId="1420"/>
    <cellStyle name="Calculation 2 9" xfId="1421"/>
    <cellStyle name="Calculation 3" xfId="1422"/>
    <cellStyle name="Case" xfId="1423"/>
    <cellStyle name="Cellule liée" xfId="1424"/>
    <cellStyle name="Check" xfId="1425"/>
    <cellStyle name="Check Cell 2 2" xfId="1426"/>
    <cellStyle name="Check Cell 2 3" xfId="1427"/>
    <cellStyle name="Check Cell 2 4" xfId="1428"/>
    <cellStyle name="Check Cell 2 5" xfId="1429"/>
    <cellStyle name="Check Cell 2 6" xfId="1430"/>
    <cellStyle name="Check Cell 2 7" xfId="1431"/>
    <cellStyle name="Check Cell 2 8" xfId="1432"/>
    <cellStyle name="Check Cell 2 9" xfId="1433"/>
    <cellStyle name="Check Cell 3" xfId="1434"/>
    <cellStyle name="Chiffre" xfId="1435"/>
    <cellStyle name="Colhead_left" xfId="1436"/>
    <cellStyle name="ColHeading" xfId="1437"/>
    <cellStyle name="Column Title" xfId="1438"/>
    <cellStyle name="ColumnHeadings" xfId="1439"/>
    <cellStyle name="ColumnHeadings2" xfId="1440"/>
    <cellStyle name="Comma  - Style1" xfId="1441"/>
    <cellStyle name="Comma  - Style2" xfId="1442"/>
    <cellStyle name="Comma  - Style3" xfId="1443"/>
    <cellStyle name="Comma  - Style4" xfId="1444"/>
    <cellStyle name="Comma  - Style5" xfId="1445"/>
    <cellStyle name="Comma  - Style6" xfId="1446"/>
    <cellStyle name="Comma  - Style7" xfId="1447"/>
    <cellStyle name="Comma  - Style8" xfId="1448"/>
    <cellStyle name="Comma ," xfId="1449"/>
    <cellStyle name="Comma [00]" xfId="1450"/>
    <cellStyle name="Comma [1]" xfId="1451"/>
    <cellStyle name="Comma [2]" xfId="1452"/>
    <cellStyle name="Comma [3]" xfId="1453"/>
    <cellStyle name="Comma 0" xfId="1454"/>
    <cellStyle name="Comma 0*" xfId="1455"/>
    <cellStyle name="Comma 10" xfId="1456"/>
    <cellStyle name="Comma 10 2" xfId="1457"/>
    <cellStyle name="Comma 10 3" xfId="1458"/>
    <cellStyle name="Comma 10 4" xfId="1459"/>
    <cellStyle name="Comma 10 5" xfId="1460"/>
    <cellStyle name="Comma 11" xfId="1461"/>
    <cellStyle name="Comma 12" xfId="1462"/>
    <cellStyle name="Comma 2 10" xfId="1463"/>
    <cellStyle name="Comma 2 11" xfId="1464"/>
    <cellStyle name="Comma 2 11 2" xfId="1465"/>
    <cellStyle name="Comma 2 11 2 2" xfId="1466"/>
    <cellStyle name="Comma 2 11 3" xfId="1467"/>
    <cellStyle name="Comma 2 12" xfId="1468"/>
    <cellStyle name="Comma 2 12 2" xfId="1469"/>
    <cellStyle name="Comma 2 13" xfId="1470"/>
    <cellStyle name="Comma 2 14" xfId="1471"/>
    <cellStyle name="Comma 2 15" xfId="1472"/>
    <cellStyle name="Comma 2 16" xfId="1473"/>
    <cellStyle name="Comma 2 17" xfId="1474"/>
    <cellStyle name="Comma 2 18" xfId="1475"/>
    <cellStyle name="Comma 2 19" xfId="1476"/>
    <cellStyle name="Comma 2 2 10" xfId="1477"/>
    <cellStyle name="Comma 2 2 11" xfId="1478"/>
    <cellStyle name="Comma 2 2 2" xfId="1479"/>
    <cellStyle name="Comma 2 2 2 2" xfId="1480"/>
    <cellStyle name="Comma 2 2 3" xfId="1481"/>
    <cellStyle name="Comma 2 2 4" xfId="1482"/>
    <cellStyle name="Comma 2 2 5" xfId="1483"/>
    <cellStyle name="Comma 2 2 6" xfId="1484"/>
    <cellStyle name="Comma 2 2 7" xfId="1485"/>
    <cellStyle name="Comma 2 2 8" xfId="1486"/>
    <cellStyle name="Comma 2 2 9" xfId="1487"/>
    <cellStyle name="Comma 2 3 2" xfId="1488"/>
    <cellStyle name="Comma 2 3 3" xfId="1489"/>
    <cellStyle name="Comma 2 3 4" xfId="1490"/>
    <cellStyle name="Comma 2 3 5" xfId="1491"/>
    <cellStyle name="Comma 2 3 6" xfId="1492"/>
    <cellStyle name="Comma 2 3 7" xfId="1493"/>
    <cellStyle name="Comma 2 3 8" xfId="1494"/>
    <cellStyle name="Comma 2 4" xfId="1495"/>
    <cellStyle name="Comma 2 4 2" xfId="1496"/>
    <cellStyle name="Comma 2 4 3" xfId="1497"/>
    <cellStyle name="Comma 2 5" xfId="1498"/>
    <cellStyle name="Comma 2 5 2" xfId="1499"/>
    <cellStyle name="Comma 2 5 2 2" xfId="1500"/>
    <cellStyle name="Comma 2 5 2 2 2" xfId="1501"/>
    <cellStyle name="Comma 2 5 2 2 2 2" xfId="1502"/>
    <cellStyle name="Comma 2 5 2 2 3" xfId="1503"/>
    <cellStyle name="Comma 2 5 2 3" xfId="1504"/>
    <cellStyle name="Comma 2 5 2 3 2" xfId="1505"/>
    <cellStyle name="Comma 2 5 2 4" xfId="1506"/>
    <cellStyle name="Comma 2 5 3" xfId="1507"/>
    <cellStyle name="Comma 2 5 3 2" xfId="1508"/>
    <cellStyle name="Comma 2 5 3 2 2" xfId="1509"/>
    <cellStyle name="Comma 2 5 3 2 2 2" xfId="1510"/>
    <cellStyle name="Comma 2 5 3 2 3" xfId="1511"/>
    <cellStyle name="Comma 2 5 3 3" xfId="1512"/>
    <cellStyle name="Comma 2 5 3 3 2" xfId="1513"/>
    <cellStyle name="Comma 2 5 3 4" xfId="1514"/>
    <cellStyle name="Comma 2 5 4" xfId="1515"/>
    <cellStyle name="Comma 2 5 4 2" xfId="1516"/>
    <cellStyle name="Comma 2 5 4 2 2" xfId="1517"/>
    <cellStyle name="Comma 2 5 4 3" xfId="1518"/>
    <cellStyle name="Comma 2 5 5" xfId="1519"/>
    <cellStyle name="Comma 2 5 5 2" xfId="1520"/>
    <cellStyle name="Comma 2 5 6" xfId="1521"/>
    <cellStyle name="Comma 2 6" xfId="1522"/>
    <cellStyle name="Comma 2 6 2" xfId="1523"/>
    <cellStyle name="Comma 2 6 2 2" xfId="1524"/>
    <cellStyle name="Comma 2 6 2 2 2" xfId="1525"/>
    <cellStyle name="Comma 2 6 2 3" xfId="1526"/>
    <cellStyle name="Comma 2 6 3" xfId="1527"/>
    <cellStyle name="Comma 2 6 3 2" xfId="1528"/>
    <cellStyle name="Comma 2 6 4" xfId="1529"/>
    <cellStyle name="Comma 2 7" xfId="1530"/>
    <cellStyle name="Comma 2 7 2" xfId="1531"/>
    <cellStyle name="Comma 2 7 2 2" xfId="1532"/>
    <cellStyle name="Comma 2 7 2 2 2" xfId="1533"/>
    <cellStyle name="Comma 2 7 2 3" xfId="1534"/>
    <cellStyle name="Comma 2 7 3" xfId="1535"/>
    <cellStyle name="Comma 2 7 3 2" xfId="1536"/>
    <cellStyle name="Comma 2 7 4" xfId="1537"/>
    <cellStyle name="Comma 2 8" xfId="1538"/>
    <cellStyle name="Comma 2 9" xfId="1539"/>
    <cellStyle name="Comma 2 9 2" xfId="1540"/>
    <cellStyle name="Comma 2 9 2 2" xfId="1541"/>
    <cellStyle name="Comma 2 9 3" xfId="1542"/>
    <cellStyle name="Comma 2*" xfId="1543"/>
    <cellStyle name="Comma 3 2 2" xfId="1544"/>
    <cellStyle name="Comma 3 3" xfId="1545"/>
    <cellStyle name="Comma 3 3 2" xfId="1546"/>
    <cellStyle name="Comma 3 3 2 2" xfId="1547"/>
    <cellStyle name="Comma 3 3 3" xfId="1548"/>
    <cellStyle name="Comma 3 3 4" xfId="1549"/>
    <cellStyle name="Comma 3 4" xfId="1550"/>
    <cellStyle name="Comma 3 4 2" xfId="1551"/>
    <cellStyle name="Comma 3 4 3" xfId="1552"/>
    <cellStyle name="Comma 3 5" xfId="1553"/>
    <cellStyle name="Comma 3 6" xfId="1554"/>
    <cellStyle name="Comma 3 7" xfId="1555"/>
    <cellStyle name="Comma 3 8" xfId="1556"/>
    <cellStyle name="Comma 3 9" xfId="1557"/>
    <cellStyle name="Comma 4 10" xfId="1558"/>
    <cellStyle name="Comma 4 11" xfId="1559"/>
    <cellStyle name="Comma 4 12" xfId="1560"/>
    <cellStyle name="Comma 4 13" xfId="1561"/>
    <cellStyle name="Comma 4 14" xfId="1562"/>
    <cellStyle name="Comma 4 2" xfId="1563"/>
    <cellStyle name="Comma 4 2 2" xfId="1564"/>
    <cellStyle name="Comma 4 2 2 2" xfId="1565"/>
    <cellStyle name="Comma 4 2 2 2 2" xfId="1566"/>
    <cellStyle name="Comma 4 2 2 3" xfId="1567"/>
    <cellStyle name="Comma 4 2 3" xfId="1568"/>
    <cellStyle name="Comma 4 2 3 2" xfId="1569"/>
    <cellStyle name="Comma 4 2 4" xfId="1570"/>
    <cellStyle name="Comma 4 2 5" xfId="1571"/>
    <cellStyle name="Comma 4 3" xfId="1572"/>
    <cellStyle name="Comma 4 3 2" xfId="1573"/>
    <cellStyle name="Comma 4 3 2 2" xfId="1574"/>
    <cellStyle name="Comma 4 3 2 2 2" xfId="1575"/>
    <cellStyle name="Comma 4 3 2 3" xfId="1576"/>
    <cellStyle name="Comma 4 3 3" xfId="1577"/>
    <cellStyle name="Comma 4 3 3 2" xfId="1578"/>
    <cellStyle name="Comma 4 3 4" xfId="1579"/>
    <cellStyle name="Comma 4 4" xfId="1580"/>
    <cellStyle name="Comma 4 4 2" xfId="1581"/>
    <cellStyle name="Comma 4 4 2 2" xfId="1582"/>
    <cellStyle name="Comma 4 4 2 2 2" xfId="1583"/>
    <cellStyle name="Comma 4 4 2 3" xfId="1584"/>
    <cellStyle name="Comma 4 4 3" xfId="1585"/>
    <cellStyle name="Comma 4 4 3 2" xfId="1586"/>
    <cellStyle name="Comma 4 4 4" xfId="1587"/>
    <cellStyle name="Comma 4 5" xfId="1588"/>
    <cellStyle name="Comma 4 5 2" xfId="1589"/>
    <cellStyle name="Comma 4 5 2 2" xfId="1590"/>
    <cellStyle name="Comma 4 5 3" xfId="1591"/>
    <cellStyle name="Comma 4 6" xfId="1592"/>
    <cellStyle name="Comma 4 6 2" xfId="1593"/>
    <cellStyle name="Comma 4 6 2 2" xfId="1594"/>
    <cellStyle name="Comma 4 6 3" xfId="1595"/>
    <cellStyle name="Comma 4 7" xfId="1596"/>
    <cellStyle name="Comma 4 7 2" xfId="1597"/>
    <cellStyle name="Comma 4 8" xfId="1598"/>
    <cellStyle name="Comma 4 9" xfId="1599"/>
    <cellStyle name="Comma 5 10" xfId="1600"/>
    <cellStyle name="Comma 5 11" xfId="1601"/>
    <cellStyle name="Comma 5 12" xfId="1602"/>
    <cellStyle name="Comma 5 2" xfId="1603"/>
    <cellStyle name="Comma 5 2 2" xfId="1604"/>
    <cellStyle name="Comma 5 2 2 2" xfId="1605"/>
    <cellStyle name="Comma 5 2 2 2 2" xfId="1606"/>
    <cellStyle name="Comma 5 2 2 3" xfId="1607"/>
    <cellStyle name="Comma 5 2 3" xfId="1608"/>
    <cellStyle name="Comma 5 2 3 2" xfId="1609"/>
    <cellStyle name="Comma 5 2 4" xfId="1610"/>
    <cellStyle name="Comma 5 3" xfId="1611"/>
    <cellStyle name="Comma 5 3 2" xfId="1612"/>
    <cellStyle name="Comma 5 3 2 2" xfId="1613"/>
    <cellStyle name="Comma 5 3 2 2 2" xfId="1614"/>
    <cellStyle name="Comma 5 3 2 3" xfId="1615"/>
    <cellStyle name="Comma 5 3 3" xfId="1616"/>
    <cellStyle name="Comma 5 3 3 2" xfId="1617"/>
    <cellStyle name="Comma 5 3 4" xfId="1618"/>
    <cellStyle name="Comma 5 4" xfId="1619"/>
    <cellStyle name="Comma 5 4 2" xfId="1620"/>
    <cellStyle name="Comma 5 4 2 2" xfId="1621"/>
    <cellStyle name="Comma 5 4 3" xfId="1622"/>
    <cellStyle name="Comma 5 5" xfId="1623"/>
    <cellStyle name="Comma 5 5 2" xfId="1624"/>
    <cellStyle name="Comma 5 5 2 2" xfId="1625"/>
    <cellStyle name="Comma 5 5 3" xfId="1626"/>
    <cellStyle name="Comma 5 6" xfId="1627"/>
    <cellStyle name="Comma 5 6 2" xfId="1628"/>
    <cellStyle name="Comma 5 7" xfId="1629"/>
    <cellStyle name="Comma 5 8" xfId="1630"/>
    <cellStyle name="Comma 5 9" xfId="1631"/>
    <cellStyle name="Comma 6 2" xfId="1632"/>
    <cellStyle name="Comma 6 3" xfId="1633"/>
    <cellStyle name="Comma 6 4" xfId="1634"/>
    <cellStyle name="Comma 6 5" xfId="1635"/>
    <cellStyle name="Comma 6 6" xfId="1636"/>
    <cellStyle name="Comma 7" xfId="1637"/>
    <cellStyle name="Comma 7 2" xfId="1638"/>
    <cellStyle name="Comma 7 2 2" xfId="1639"/>
    <cellStyle name="Comma 7 2 2 2" xfId="1640"/>
    <cellStyle name="Comma 7 2 3" xfId="1641"/>
    <cellStyle name="Comma 7 3" xfId="1642"/>
    <cellStyle name="Comma 7 3 2" xfId="1643"/>
    <cellStyle name="Comma 7 4" xfId="1644"/>
    <cellStyle name="Comma 7 5" xfId="1645"/>
    <cellStyle name="Comma 7 6" xfId="1646"/>
    <cellStyle name="Comma 7 7" xfId="1647"/>
    <cellStyle name="Comma 7 8" xfId="1648"/>
    <cellStyle name="Comma 8" xfId="1649"/>
    <cellStyle name="Comma 8 2" xfId="1650"/>
    <cellStyle name="Comma 8 2 2" xfId="1651"/>
    <cellStyle name="Comma 8 3" xfId="1652"/>
    <cellStyle name="Comma 8 4" xfId="1653"/>
    <cellStyle name="Comma 8 5" xfId="1654"/>
    <cellStyle name="Comma 8 6" xfId="1655"/>
    <cellStyle name="Comma 8 7" xfId="1656"/>
    <cellStyle name="Comma 9" xfId="1657"/>
    <cellStyle name="Comma 9 2" xfId="1658"/>
    <cellStyle name="Comma 9 3" xfId="1659"/>
    <cellStyle name="Comma 9 4" xfId="1660"/>
    <cellStyle name="Comma 9 5" xfId="1661"/>
    <cellStyle name="Comma0" xfId="1662"/>
    <cellStyle name="Comma2 (0)" xfId="1663"/>
    <cellStyle name="Comment" xfId="1664"/>
    <cellStyle name="Commentaire" xfId="1665"/>
    <cellStyle name="Company" xfId="1666"/>
    <cellStyle name="CurRatio" xfId="1667"/>
    <cellStyle name="Currency [00]" xfId="1668"/>
    <cellStyle name="Currency [1]" xfId="1669"/>
    <cellStyle name="Currency [2]" xfId="1670"/>
    <cellStyle name="Currency [3]" xfId="1671"/>
    <cellStyle name="Currency 0" xfId="1672"/>
    <cellStyle name="Currency 10" xfId="1673"/>
    <cellStyle name="Currency 10 2" xfId="1674"/>
    <cellStyle name="Currency 10 2 2" xfId="1675"/>
    <cellStyle name="Currency 10 2 2 2" xfId="1676"/>
    <cellStyle name="Currency 10 2 2 2 2" xfId="1677"/>
    <cellStyle name="Currency 10 2 2 3" xfId="1678"/>
    <cellStyle name="Currency 10 2 3" xfId="1679"/>
    <cellStyle name="Currency 10 2 3 2" xfId="1680"/>
    <cellStyle name="Currency 10 2 4" xfId="1681"/>
    <cellStyle name="Currency 10 3" xfId="1682"/>
    <cellStyle name="Currency 10 3 2" xfId="1683"/>
    <cellStyle name="Currency 10 3 2 2" xfId="1684"/>
    <cellStyle name="Currency 10 3 2 2 2" xfId="1685"/>
    <cellStyle name="Currency 10 3 2 3" xfId="1686"/>
    <cellStyle name="Currency 10 3 3" xfId="1687"/>
    <cellStyle name="Currency 10 3 3 2" xfId="1688"/>
    <cellStyle name="Currency 10 3 4" xfId="1689"/>
    <cellStyle name="Currency 10 4" xfId="1690"/>
    <cellStyle name="Currency 10 4 2" xfId="1691"/>
    <cellStyle name="Currency 10 4 2 2" xfId="1692"/>
    <cellStyle name="Currency 10 4 3" xfId="1693"/>
    <cellStyle name="Currency 10 5" xfId="1694"/>
    <cellStyle name="Currency 10 5 2" xfId="1695"/>
    <cellStyle name="Currency 10 6" xfId="1696"/>
    <cellStyle name="Currency 11" xfId="1697"/>
    <cellStyle name="Currency 11 2" xfId="1698"/>
    <cellStyle name="Currency 11 2 2" xfId="1699"/>
    <cellStyle name="Currency 11 2 2 2" xfId="1700"/>
    <cellStyle name="Currency 11 2 2 2 2" xfId="1701"/>
    <cellStyle name="Currency 11 2 2 3" xfId="1702"/>
    <cellStyle name="Currency 11 2 3" xfId="1703"/>
    <cellStyle name="Currency 11 2 3 2" xfId="1704"/>
    <cellStyle name="Currency 11 2 4" xfId="1705"/>
    <cellStyle name="Currency 11 3" xfId="1706"/>
    <cellStyle name="Currency 11 3 2" xfId="1707"/>
    <cellStyle name="Currency 11 3 2 2" xfId="1708"/>
    <cellStyle name="Currency 11 3 2 2 2" xfId="1709"/>
    <cellStyle name="Currency 11 3 2 3" xfId="1710"/>
    <cellStyle name="Currency 11 3 3" xfId="1711"/>
    <cellStyle name="Currency 11 3 3 2" xfId="1712"/>
    <cellStyle name="Currency 11 3 4" xfId="1713"/>
    <cellStyle name="Currency 11 4" xfId="1714"/>
    <cellStyle name="Currency 11 4 2" xfId="1715"/>
    <cellStyle name="Currency 11 4 2 2" xfId="1716"/>
    <cellStyle name="Currency 11 4 3" xfId="1717"/>
    <cellStyle name="Currency 11 5" xfId="1718"/>
    <cellStyle name="Currency 11 5 2" xfId="1719"/>
    <cellStyle name="Currency 11 6" xfId="1720"/>
    <cellStyle name="Currency 12" xfId="1721"/>
    <cellStyle name="Currency 13" xfId="1722"/>
    <cellStyle name="Currency 14" xfId="1723"/>
    <cellStyle name="Currency 14 2" xfId="1724"/>
    <cellStyle name="Currency 14 2 2" xfId="1725"/>
    <cellStyle name="Currency 14 2 2 2" xfId="1726"/>
    <cellStyle name="Currency 14 2 2 2 2" xfId="1727"/>
    <cellStyle name="Currency 14 2 2 3" xfId="1728"/>
    <cellStyle name="Currency 14 2 3" xfId="1729"/>
    <cellStyle name="Currency 14 2 3 2" xfId="1730"/>
    <cellStyle name="Currency 14 2 4" xfId="1731"/>
    <cellStyle name="Currency 14 3" xfId="1732"/>
    <cellStyle name="Currency 14 3 2" xfId="1733"/>
    <cellStyle name="Currency 14 3 2 2" xfId="1734"/>
    <cellStyle name="Currency 14 3 2 2 2" xfId="1735"/>
    <cellStyle name="Currency 14 3 2 3" xfId="1736"/>
    <cellStyle name="Currency 14 3 3" xfId="1737"/>
    <cellStyle name="Currency 14 3 3 2" xfId="1738"/>
    <cellStyle name="Currency 14 3 4" xfId="1739"/>
    <cellStyle name="Currency 14 4" xfId="1740"/>
    <cellStyle name="Currency 14 4 2" xfId="1741"/>
    <cellStyle name="Currency 14 4 2 2" xfId="1742"/>
    <cellStyle name="Currency 14 4 2 2 2" xfId="1743"/>
    <cellStyle name="Currency 14 4 2 3" xfId="1744"/>
    <cellStyle name="Currency 14 4 3" xfId="1745"/>
    <cellStyle name="Currency 14 4 3 2" xfId="1746"/>
    <cellStyle name="Currency 14 4 4" xfId="1747"/>
    <cellStyle name="Currency 14 5" xfId="1748"/>
    <cellStyle name="Currency 14 5 2" xfId="1749"/>
    <cellStyle name="Currency 14 5 2 2" xfId="1750"/>
    <cellStyle name="Currency 14 5 3" xfId="1751"/>
    <cellStyle name="Currency 14 6" xfId="1752"/>
    <cellStyle name="Currency 14 6 2" xfId="1753"/>
    <cellStyle name="Currency 14 7" xfId="1754"/>
    <cellStyle name="Currency 15" xfId="1755"/>
    <cellStyle name="Currency 15 2" xfId="1756"/>
    <cellStyle name="Currency 15 2 2" xfId="1757"/>
    <cellStyle name="Currency 15 2 2 2" xfId="1758"/>
    <cellStyle name="Currency 15 2 3" xfId="1759"/>
    <cellStyle name="Currency 15 3" xfId="1760"/>
    <cellStyle name="Currency 15 3 2" xfId="1761"/>
    <cellStyle name="Currency 15 4" xfId="1762"/>
    <cellStyle name="Currency 16" xfId="1763"/>
    <cellStyle name="Currency 16 2" xfId="1764"/>
    <cellStyle name="Currency 17" xfId="1765"/>
    <cellStyle name="Currency 18" xfId="1766"/>
    <cellStyle name="Currency 19" xfId="1767"/>
    <cellStyle name="Currency 19 2" xfId="1768"/>
    <cellStyle name="Currency 19 2 2" xfId="1769"/>
    <cellStyle name="Currency 19 2 2 2" xfId="1770"/>
    <cellStyle name="Currency 19 2 2 2 2" xfId="1771"/>
    <cellStyle name="Currency 19 2 2 3" xfId="1772"/>
    <cellStyle name="Currency 19 2 3" xfId="1773"/>
    <cellStyle name="Currency 19 2 3 2" xfId="1774"/>
    <cellStyle name="Currency 19 2 4" xfId="1775"/>
    <cellStyle name="Currency 19 3" xfId="1776"/>
    <cellStyle name="Currency 19 3 2" xfId="1777"/>
    <cellStyle name="Currency 19 3 2 2" xfId="1778"/>
    <cellStyle name="Currency 19 3 2 2 2" xfId="1779"/>
    <cellStyle name="Currency 19 3 2 3" xfId="1780"/>
    <cellStyle name="Currency 19 3 3" xfId="1781"/>
    <cellStyle name="Currency 19 3 3 2" xfId="1782"/>
    <cellStyle name="Currency 19 3 4" xfId="1783"/>
    <cellStyle name="Currency 19 4" xfId="1784"/>
    <cellStyle name="Currency 19 4 2" xfId="1785"/>
    <cellStyle name="Currency 19 4 2 2" xfId="1786"/>
    <cellStyle name="Currency 19 4 3" xfId="1787"/>
    <cellStyle name="Currency 19 5" xfId="1788"/>
    <cellStyle name="Currency 19 5 2" xfId="1789"/>
    <cellStyle name="Currency 19 6" xfId="1790"/>
    <cellStyle name="Currency 2 10" xfId="1791"/>
    <cellStyle name="Currency 2 10 2" xfId="1792"/>
    <cellStyle name="Currency 2 10 2 2" xfId="1793"/>
    <cellStyle name="Currency 2 10 3" xfId="1794"/>
    <cellStyle name="Currency 2 11" xfId="1795"/>
    <cellStyle name="Currency 2 12" xfId="1796"/>
    <cellStyle name="Currency 2 13" xfId="1797"/>
    <cellStyle name="Currency 2 14" xfId="1798"/>
    <cellStyle name="Currency 2 15" xfId="1799"/>
    <cellStyle name="Currency 2 16" xfId="1800"/>
    <cellStyle name="Currency 2 17" xfId="1801"/>
    <cellStyle name="Currency 2 18" xfId="1802"/>
    <cellStyle name="Currency 2 2" xfId="1803"/>
    <cellStyle name="Currency 2 2 10" xfId="1804"/>
    <cellStyle name="Currency 2 2 11" xfId="1805"/>
    <cellStyle name="Currency 2 2 2" xfId="1806"/>
    <cellStyle name="Currency 2 2 3" xfId="1807"/>
    <cellStyle name="Currency 2 2 4" xfId="1808"/>
    <cellStyle name="Currency 2 2 5" xfId="1809"/>
    <cellStyle name="Currency 2 2 6" xfId="1810"/>
    <cellStyle name="Currency 2 2 7" xfId="1811"/>
    <cellStyle name="Currency 2 2 8" xfId="1812"/>
    <cellStyle name="Currency 2 2 9" xfId="1813"/>
    <cellStyle name="Currency 2 3" xfId="1814"/>
    <cellStyle name="Currency 2 3 2" xfId="1815"/>
    <cellStyle name="Currency 2 3 3" xfId="1816"/>
    <cellStyle name="Currency 2 3 4" xfId="1817"/>
    <cellStyle name="Currency 2 3 5" xfId="1818"/>
    <cellStyle name="Currency 2 4" xfId="1819"/>
    <cellStyle name="Currency 2 5" xfId="1820"/>
    <cellStyle name="Currency 2 6" xfId="1821"/>
    <cellStyle name="Currency 2 7" xfId="1822"/>
    <cellStyle name="Currency 2 8" xfId="1823"/>
    <cellStyle name="Currency 2 9" xfId="1824"/>
    <cellStyle name="Currency 2_CLdcfmodel" xfId="1825"/>
    <cellStyle name="Currency 2*" xfId="1826"/>
    <cellStyle name="Currency 20" xfId="1827"/>
    <cellStyle name="Currency 20 2" xfId="1828"/>
    <cellStyle name="Currency 20 2 2" xfId="1829"/>
    <cellStyle name="Currency 20 2 2 2" xfId="1830"/>
    <cellStyle name="Currency 20 2 2 2 2" xfId="1831"/>
    <cellStyle name="Currency 20 2 2 3" xfId="1832"/>
    <cellStyle name="Currency 20 2 3" xfId="1833"/>
    <cellStyle name="Currency 20 2 3 2" xfId="1834"/>
    <cellStyle name="Currency 20 2 4" xfId="1835"/>
    <cellStyle name="Currency 20 3" xfId="1836"/>
    <cellStyle name="Currency 20 3 2" xfId="1837"/>
    <cellStyle name="Currency 20 3 2 2" xfId="1838"/>
    <cellStyle name="Currency 20 3 2 2 2" xfId="1839"/>
    <cellStyle name="Currency 20 3 2 3" xfId="1840"/>
    <cellStyle name="Currency 20 3 3" xfId="1841"/>
    <cellStyle name="Currency 20 3 3 2" xfId="1842"/>
    <cellStyle name="Currency 20 3 4" xfId="1843"/>
    <cellStyle name="Currency 20 4" xfId="1844"/>
    <cellStyle name="Currency 20 4 2" xfId="1845"/>
    <cellStyle name="Currency 20 4 2 2" xfId="1846"/>
    <cellStyle name="Currency 20 4 3" xfId="1847"/>
    <cellStyle name="Currency 20 5" xfId="1848"/>
    <cellStyle name="Currency 20 5 2" xfId="1849"/>
    <cellStyle name="Currency 20 6" xfId="1850"/>
    <cellStyle name="Currency 21" xfId="1851"/>
    <cellStyle name="Currency 21 2" xfId="1852"/>
    <cellStyle name="Currency 21 2 2" xfId="1853"/>
    <cellStyle name="Currency 21 2 2 2" xfId="1854"/>
    <cellStyle name="Currency 21 2 2 2 2" xfId="1855"/>
    <cellStyle name="Currency 21 2 2 3" xfId="1856"/>
    <cellStyle name="Currency 21 2 3" xfId="1857"/>
    <cellStyle name="Currency 21 2 3 2" xfId="1858"/>
    <cellStyle name="Currency 21 2 4" xfId="1859"/>
    <cellStyle name="Currency 21 3" xfId="1860"/>
    <cellStyle name="Currency 21 3 2" xfId="1861"/>
    <cellStyle name="Currency 21 3 2 2" xfId="1862"/>
    <cellStyle name="Currency 21 3 2 2 2" xfId="1863"/>
    <cellStyle name="Currency 21 3 2 3" xfId="1864"/>
    <cellStyle name="Currency 21 3 3" xfId="1865"/>
    <cellStyle name="Currency 21 3 3 2" xfId="1866"/>
    <cellStyle name="Currency 21 3 4" xfId="1867"/>
    <cellStyle name="Currency 21 4" xfId="1868"/>
    <cellStyle name="Currency 21 4 2" xfId="1869"/>
    <cellStyle name="Currency 21 4 2 2" xfId="1870"/>
    <cellStyle name="Currency 21 4 3" xfId="1871"/>
    <cellStyle name="Currency 21 5" xfId="1872"/>
    <cellStyle name="Currency 21 5 2" xfId="1873"/>
    <cellStyle name="Currency 21 6" xfId="1874"/>
    <cellStyle name="Currency 22" xfId="1875"/>
    <cellStyle name="Currency 22 2" xfId="1876"/>
    <cellStyle name="Currency 22 2 2" xfId="1877"/>
    <cellStyle name="Currency 22 2 2 2" xfId="1878"/>
    <cellStyle name="Currency 22 2 2 2 2" xfId="1879"/>
    <cellStyle name="Currency 22 2 2 3" xfId="1880"/>
    <cellStyle name="Currency 22 2 3" xfId="1881"/>
    <cellStyle name="Currency 22 2 3 2" xfId="1882"/>
    <cellStyle name="Currency 22 2 4" xfId="1883"/>
    <cellStyle name="Currency 22 3" xfId="1884"/>
    <cellStyle name="Currency 22 3 2" xfId="1885"/>
    <cellStyle name="Currency 22 3 2 2" xfId="1886"/>
    <cellStyle name="Currency 22 3 2 2 2" xfId="1887"/>
    <cellStyle name="Currency 22 3 2 3" xfId="1888"/>
    <cellStyle name="Currency 22 3 3" xfId="1889"/>
    <cellStyle name="Currency 22 3 3 2" xfId="1890"/>
    <cellStyle name="Currency 22 3 4" xfId="1891"/>
    <cellStyle name="Currency 22 4" xfId="1892"/>
    <cellStyle name="Currency 22 4 2" xfId="1893"/>
    <cellStyle name="Currency 22 4 2 2" xfId="1894"/>
    <cellStyle name="Currency 22 4 3" xfId="1895"/>
    <cellStyle name="Currency 22 5" xfId="1896"/>
    <cellStyle name="Currency 22 5 2" xfId="1897"/>
    <cellStyle name="Currency 22 6" xfId="1898"/>
    <cellStyle name="Currency 23" xfId="1899"/>
    <cellStyle name="Currency 23 2" xfId="1900"/>
    <cellStyle name="Currency 23 2 2" xfId="1901"/>
    <cellStyle name="Currency 23 2 2 2" xfId="1902"/>
    <cellStyle name="Currency 23 2 2 2 2" xfId="1903"/>
    <cellStyle name="Currency 23 2 2 3" xfId="1904"/>
    <cellStyle name="Currency 23 2 3" xfId="1905"/>
    <cellStyle name="Currency 23 2 3 2" xfId="1906"/>
    <cellStyle name="Currency 23 2 4" xfId="1907"/>
    <cellStyle name="Currency 23 3" xfId="1908"/>
    <cellStyle name="Currency 23 3 2" xfId="1909"/>
    <cellStyle name="Currency 23 3 2 2" xfId="1910"/>
    <cellStyle name="Currency 23 3 2 2 2" xfId="1911"/>
    <cellStyle name="Currency 23 3 2 3" xfId="1912"/>
    <cellStyle name="Currency 23 3 3" xfId="1913"/>
    <cellStyle name="Currency 23 3 3 2" xfId="1914"/>
    <cellStyle name="Currency 23 3 4" xfId="1915"/>
    <cellStyle name="Currency 23 4" xfId="1916"/>
    <cellStyle name="Currency 23 4 2" xfId="1917"/>
    <cellStyle name="Currency 23 4 2 2" xfId="1918"/>
    <cellStyle name="Currency 23 4 3" xfId="1919"/>
    <cellStyle name="Currency 23 5" xfId="1920"/>
    <cellStyle name="Currency 23 5 2" xfId="1921"/>
    <cellStyle name="Currency 23 6" xfId="1922"/>
    <cellStyle name="Currency 24" xfId="1923"/>
    <cellStyle name="Currency 24 2" xfId="1924"/>
    <cellStyle name="Currency 24 2 2" xfId="1925"/>
    <cellStyle name="Currency 24 2 2 2" xfId="1926"/>
    <cellStyle name="Currency 24 2 2 2 2" xfId="1927"/>
    <cellStyle name="Currency 24 2 2 3" xfId="1928"/>
    <cellStyle name="Currency 24 2 3" xfId="1929"/>
    <cellStyle name="Currency 24 2 3 2" xfId="1930"/>
    <cellStyle name="Currency 24 2 4" xfId="1931"/>
    <cellStyle name="Currency 24 3" xfId="1932"/>
    <cellStyle name="Currency 24 3 2" xfId="1933"/>
    <cellStyle name="Currency 24 3 2 2" xfId="1934"/>
    <cellStyle name="Currency 24 3 2 2 2" xfId="1935"/>
    <cellStyle name="Currency 24 3 2 3" xfId="1936"/>
    <cellStyle name="Currency 24 3 3" xfId="1937"/>
    <cellStyle name="Currency 24 3 3 2" xfId="1938"/>
    <cellStyle name="Currency 24 3 4" xfId="1939"/>
    <cellStyle name="Currency 24 4" xfId="1940"/>
    <cellStyle name="Currency 24 4 2" xfId="1941"/>
    <cellStyle name="Currency 24 4 2 2" xfId="1942"/>
    <cellStyle name="Currency 24 4 3" xfId="1943"/>
    <cellStyle name="Currency 24 5" xfId="1944"/>
    <cellStyle name="Currency 24 5 2" xfId="1945"/>
    <cellStyle name="Currency 24 6" xfId="1946"/>
    <cellStyle name="Currency 25" xfId="1947"/>
    <cellStyle name="Currency 26" xfId="1948"/>
    <cellStyle name="Currency 26 2" xfId="1949"/>
    <cellStyle name="Currency 26 2 2" xfId="1950"/>
    <cellStyle name="Currency 26 2 2 2" xfId="1951"/>
    <cellStyle name="Currency 26 2 2 2 2" xfId="1952"/>
    <cellStyle name="Currency 26 2 2 3" xfId="1953"/>
    <cellStyle name="Currency 26 2 3" xfId="1954"/>
    <cellStyle name="Currency 26 2 3 2" xfId="1955"/>
    <cellStyle name="Currency 26 2 4" xfId="1956"/>
    <cellStyle name="Currency 26 3" xfId="1957"/>
    <cellStyle name="Currency 26 3 2" xfId="1958"/>
    <cellStyle name="Currency 26 3 2 2" xfId="1959"/>
    <cellStyle name="Currency 26 3 2 2 2" xfId="1960"/>
    <cellStyle name="Currency 26 3 2 3" xfId="1961"/>
    <cellStyle name="Currency 26 3 3" xfId="1962"/>
    <cellStyle name="Currency 26 3 3 2" xfId="1963"/>
    <cellStyle name="Currency 26 3 4" xfId="1964"/>
    <cellStyle name="Currency 26 4" xfId="1965"/>
    <cellStyle name="Currency 26 4 2" xfId="1966"/>
    <cellStyle name="Currency 26 4 2 2" xfId="1967"/>
    <cellStyle name="Currency 26 4 3" xfId="1968"/>
    <cellStyle name="Currency 26 5" xfId="1969"/>
    <cellStyle name="Currency 26 5 2" xfId="1970"/>
    <cellStyle name="Currency 26 6" xfId="1971"/>
    <cellStyle name="Currency 27" xfId="1972"/>
    <cellStyle name="Currency 27 2" xfId="1973"/>
    <cellStyle name="Currency 27 2 2" xfId="1974"/>
    <cellStyle name="Currency 27 2 2 2" xfId="1975"/>
    <cellStyle name="Currency 27 2 2 2 2" xfId="1976"/>
    <cellStyle name="Currency 27 2 2 3" xfId="1977"/>
    <cellStyle name="Currency 27 2 3" xfId="1978"/>
    <cellStyle name="Currency 27 2 3 2" xfId="1979"/>
    <cellStyle name="Currency 27 2 4" xfId="1980"/>
    <cellStyle name="Currency 27 3" xfId="1981"/>
    <cellStyle name="Currency 27 3 2" xfId="1982"/>
    <cellStyle name="Currency 27 3 2 2" xfId="1983"/>
    <cellStyle name="Currency 27 3 2 2 2" xfId="1984"/>
    <cellStyle name="Currency 27 3 2 3" xfId="1985"/>
    <cellStyle name="Currency 27 3 3" xfId="1986"/>
    <cellStyle name="Currency 27 3 3 2" xfId="1987"/>
    <cellStyle name="Currency 27 3 4" xfId="1988"/>
    <cellStyle name="Currency 27 4" xfId="1989"/>
    <cellStyle name="Currency 27 4 2" xfId="1990"/>
    <cellStyle name="Currency 27 4 2 2" xfId="1991"/>
    <cellStyle name="Currency 27 4 3" xfId="1992"/>
    <cellStyle name="Currency 27 5" xfId="1993"/>
    <cellStyle name="Currency 27 5 2" xfId="1994"/>
    <cellStyle name="Currency 27 6" xfId="1995"/>
    <cellStyle name="Currency 28" xfId="1996"/>
    <cellStyle name="Currency 28 2" xfId="1997"/>
    <cellStyle name="Currency 28 2 2" xfId="1998"/>
    <cellStyle name="Currency 28 2 2 2" xfId="1999"/>
    <cellStyle name="Currency 28 2 2 2 2" xfId="2000"/>
    <cellStyle name="Currency 28 2 2 3" xfId="2001"/>
    <cellStyle name="Currency 28 2 3" xfId="2002"/>
    <cellStyle name="Currency 28 2 3 2" xfId="2003"/>
    <cellStyle name="Currency 28 2 4" xfId="2004"/>
    <cellStyle name="Currency 28 3" xfId="2005"/>
    <cellStyle name="Currency 28 3 2" xfId="2006"/>
    <cellStyle name="Currency 28 3 2 2" xfId="2007"/>
    <cellStyle name="Currency 28 3 2 2 2" xfId="2008"/>
    <cellStyle name="Currency 28 3 2 3" xfId="2009"/>
    <cellStyle name="Currency 28 3 3" xfId="2010"/>
    <cellStyle name="Currency 28 3 3 2" xfId="2011"/>
    <cellStyle name="Currency 28 3 4" xfId="2012"/>
    <cellStyle name="Currency 28 4" xfId="2013"/>
    <cellStyle name="Currency 28 4 2" xfId="2014"/>
    <cellStyle name="Currency 28 4 2 2" xfId="2015"/>
    <cellStyle name="Currency 28 4 3" xfId="2016"/>
    <cellStyle name="Currency 28 5" xfId="2017"/>
    <cellStyle name="Currency 28 5 2" xfId="2018"/>
    <cellStyle name="Currency 28 6" xfId="2019"/>
    <cellStyle name="Currency 29" xfId="2020"/>
    <cellStyle name="Currency 29 2" xfId="2021"/>
    <cellStyle name="Currency 29 2 2" xfId="2022"/>
    <cellStyle name="Currency 29 2 2 2" xfId="2023"/>
    <cellStyle name="Currency 29 2 2 2 2" xfId="2024"/>
    <cellStyle name="Currency 29 2 2 3" xfId="2025"/>
    <cellStyle name="Currency 29 2 3" xfId="2026"/>
    <cellStyle name="Currency 29 2 3 2" xfId="2027"/>
    <cellStyle name="Currency 29 2 4" xfId="2028"/>
    <cellStyle name="Currency 29 3" xfId="2029"/>
    <cellStyle name="Currency 29 3 2" xfId="2030"/>
    <cellStyle name="Currency 29 3 2 2" xfId="2031"/>
    <cellStyle name="Currency 29 3 2 2 2" xfId="2032"/>
    <cellStyle name="Currency 29 3 2 3" xfId="2033"/>
    <cellStyle name="Currency 29 3 3" xfId="2034"/>
    <cellStyle name="Currency 29 3 3 2" xfId="2035"/>
    <cellStyle name="Currency 29 3 4" xfId="2036"/>
    <cellStyle name="Currency 29 4" xfId="2037"/>
    <cellStyle name="Currency 29 4 2" xfId="2038"/>
    <cellStyle name="Currency 29 4 2 2" xfId="2039"/>
    <cellStyle name="Currency 29 4 3" xfId="2040"/>
    <cellStyle name="Currency 29 5" xfId="2041"/>
    <cellStyle name="Currency 29 5 2" xfId="2042"/>
    <cellStyle name="Currency 29 6" xfId="2043"/>
    <cellStyle name="Currency 3" xfId="2044"/>
    <cellStyle name="Currency 3 2" xfId="2045"/>
    <cellStyle name="Currency 3 2 2" xfId="2046"/>
    <cellStyle name="Currency 3 2 2 2" xfId="2047"/>
    <cellStyle name="Currency 3 2 3" xfId="2048"/>
    <cellStyle name="Currency 3 2 4" xfId="2049"/>
    <cellStyle name="Currency 3 2 5" xfId="2050"/>
    <cellStyle name="Currency 3 3" xfId="2051"/>
    <cellStyle name="Currency 3 4" xfId="2052"/>
    <cellStyle name="Currency 3 5" xfId="2053"/>
    <cellStyle name="Currency 3 6" xfId="2054"/>
    <cellStyle name="Currency 4" xfId="2055"/>
    <cellStyle name="Currency 4 10" xfId="2056"/>
    <cellStyle name="Currency 4 2" xfId="2057"/>
    <cellStyle name="Currency 4 2 2" xfId="2058"/>
    <cellStyle name="Currency 4 2 2 2" xfId="2059"/>
    <cellStyle name="Currency 4 2 2 2 2" xfId="2060"/>
    <cellStyle name="Currency 4 2 2 3" xfId="2061"/>
    <cellStyle name="Currency 4 2 3" xfId="2062"/>
    <cellStyle name="Currency 4 2 3 2" xfId="2063"/>
    <cellStyle name="Currency 4 2 4" xfId="2064"/>
    <cellStyle name="Currency 4 3" xfId="2065"/>
    <cellStyle name="Currency 4 3 2" xfId="2066"/>
    <cellStyle name="Currency 4 3 2 2" xfId="2067"/>
    <cellStyle name="Currency 4 3 2 2 2" xfId="2068"/>
    <cellStyle name="Currency 4 3 2 3" xfId="2069"/>
    <cellStyle name="Currency 4 3 3" xfId="2070"/>
    <cellStyle name="Currency 4 3 3 2" xfId="2071"/>
    <cellStyle name="Currency 4 3 4" xfId="2072"/>
    <cellStyle name="Currency 4 4" xfId="2073"/>
    <cellStyle name="Currency 4 4 2" xfId="2074"/>
    <cellStyle name="Currency 4 4 2 2" xfId="2075"/>
    <cellStyle name="Currency 4 4 3" xfId="2076"/>
    <cellStyle name="Currency 4 5" xfId="2077"/>
    <cellStyle name="Currency 4 5 2" xfId="2078"/>
    <cellStyle name="Currency 4 5 2 2" xfId="2079"/>
    <cellStyle name="Currency 4 5 3" xfId="2080"/>
    <cellStyle name="Currency 4 6" xfId="2081"/>
    <cellStyle name="Currency 4 6 2" xfId="2082"/>
    <cellStyle name="Currency 4 6 2 2" xfId="2083"/>
    <cellStyle name="Currency 4 6 3" xfId="2084"/>
    <cellStyle name="Currency 4 7" xfId="2085"/>
    <cellStyle name="Currency 4 7 2" xfId="2086"/>
    <cellStyle name="Currency 4 8" xfId="2087"/>
    <cellStyle name="Currency 4 9" xfId="2088"/>
    <cellStyle name="Currency 5" xfId="2089"/>
    <cellStyle name="Currency 5 2" xfId="2090"/>
    <cellStyle name="Currency 5 2 2" xfId="2091"/>
    <cellStyle name="Currency 5 2 2 2" xfId="2092"/>
    <cellStyle name="Currency 5 2 2 2 2" xfId="2093"/>
    <cellStyle name="Currency 5 2 2 3" xfId="2094"/>
    <cellStyle name="Currency 5 2 3" xfId="2095"/>
    <cellStyle name="Currency 5 2 3 2" xfId="2096"/>
    <cellStyle name="Currency 5 2 4" xfId="2097"/>
    <cellStyle name="Currency 5 3" xfId="2098"/>
    <cellStyle name="Currency 5 3 2" xfId="2099"/>
    <cellStyle name="Currency 5 3 2 2" xfId="2100"/>
    <cellStyle name="Currency 5 3 2 2 2" xfId="2101"/>
    <cellStyle name="Currency 5 3 2 3" xfId="2102"/>
    <cellStyle name="Currency 5 3 3" xfId="2103"/>
    <cellStyle name="Currency 5 3 3 2" xfId="2104"/>
    <cellStyle name="Currency 5 3 4" xfId="2105"/>
    <cellStyle name="Currency 5 4" xfId="2106"/>
    <cellStyle name="Currency 5 4 2" xfId="2107"/>
    <cellStyle name="Currency 5 4 2 2" xfId="2108"/>
    <cellStyle name="Currency 5 4 3" xfId="2109"/>
    <cellStyle name="Currency 5 5" xfId="2110"/>
    <cellStyle name="Currency 5 5 2" xfId="2111"/>
    <cellStyle name="Currency 5 6" xfId="2112"/>
    <cellStyle name="Currency 6" xfId="2113"/>
    <cellStyle name="Currency 6 2" xfId="2114"/>
    <cellStyle name="Currency 6 2 2" xfId="2115"/>
    <cellStyle name="Currency 6 2 2 2" xfId="2116"/>
    <cellStyle name="Currency 6 2 2 2 2" xfId="2117"/>
    <cellStyle name="Currency 6 2 2 3" xfId="2118"/>
    <cellStyle name="Currency 6 2 3" xfId="2119"/>
    <cellStyle name="Currency 6 2 3 2" xfId="2120"/>
    <cellStyle name="Currency 6 2 4" xfId="2121"/>
    <cellStyle name="Currency 6 3" xfId="2122"/>
    <cellStyle name="Currency 6 3 2" xfId="2123"/>
    <cellStyle name="Currency 6 3 2 2" xfId="2124"/>
    <cellStyle name="Currency 6 3 2 2 2" xfId="2125"/>
    <cellStyle name="Currency 6 3 2 3" xfId="2126"/>
    <cellStyle name="Currency 6 3 3" xfId="2127"/>
    <cellStyle name="Currency 6 3 3 2" xfId="2128"/>
    <cellStyle name="Currency 6 3 4" xfId="2129"/>
    <cellStyle name="Currency 6 4" xfId="2130"/>
    <cellStyle name="Currency 6 4 2" xfId="2131"/>
    <cellStyle name="Currency 6 4 2 2" xfId="2132"/>
    <cellStyle name="Currency 6 4 3" xfId="2133"/>
    <cellStyle name="Currency 6 5" xfId="2134"/>
    <cellStyle name="Currency 6 5 2" xfId="2135"/>
    <cellStyle name="Currency 6 6" xfId="2136"/>
    <cellStyle name="Currency 7" xfId="2137"/>
    <cellStyle name="Currency 7 2" xfId="2138"/>
    <cellStyle name="Currency 8" xfId="2139"/>
    <cellStyle name="Currency 8 2" xfId="2140"/>
    <cellStyle name="Currency 8 2 2" xfId="2141"/>
    <cellStyle name="Currency 8 2 2 2" xfId="2142"/>
    <cellStyle name="Currency 8 2 2 2 2" xfId="2143"/>
    <cellStyle name="Currency 8 2 2 3" xfId="2144"/>
    <cellStyle name="Currency 8 2 3" xfId="2145"/>
    <cellStyle name="Currency 8 2 3 2" xfId="2146"/>
    <cellStyle name="Currency 8 2 4" xfId="2147"/>
    <cellStyle name="Currency 8 3" xfId="2148"/>
    <cellStyle name="Currency 8 3 2" xfId="2149"/>
    <cellStyle name="Currency 8 3 2 2" xfId="2150"/>
    <cellStyle name="Currency 8 3 2 2 2" xfId="2151"/>
    <cellStyle name="Currency 8 3 2 3" xfId="2152"/>
    <cellStyle name="Currency 8 3 3" xfId="2153"/>
    <cellStyle name="Currency 8 3 3 2" xfId="2154"/>
    <cellStyle name="Currency 8 3 4" xfId="2155"/>
    <cellStyle name="Currency 8 4" xfId="2156"/>
    <cellStyle name="Currency 8 4 2" xfId="2157"/>
    <cellStyle name="Currency 8 4 2 2" xfId="2158"/>
    <cellStyle name="Currency 8 4 3" xfId="2159"/>
    <cellStyle name="Currency 8 5" xfId="2160"/>
    <cellStyle name="Currency 8 5 2" xfId="2161"/>
    <cellStyle name="Currency 8 6" xfId="2162"/>
    <cellStyle name="Currency 8 7" xfId="2163"/>
    <cellStyle name="Currency 9" xfId="2164"/>
    <cellStyle name="Currency 9 2" xfId="2165"/>
    <cellStyle name="Currency 9 2 2" xfId="2166"/>
    <cellStyle name="Currency 9 2 2 2" xfId="2167"/>
    <cellStyle name="Currency 9 2 2 2 2" xfId="2168"/>
    <cellStyle name="Currency 9 2 2 3" xfId="2169"/>
    <cellStyle name="Currency 9 2 3" xfId="2170"/>
    <cellStyle name="Currency 9 2 3 2" xfId="2171"/>
    <cellStyle name="Currency 9 2 4" xfId="2172"/>
    <cellStyle name="Currency 9 3" xfId="2173"/>
    <cellStyle name="Currency 9 3 2" xfId="2174"/>
    <cellStyle name="Currency 9 3 2 2" xfId="2175"/>
    <cellStyle name="Currency 9 3 2 2 2" xfId="2176"/>
    <cellStyle name="Currency 9 3 2 3" xfId="2177"/>
    <cellStyle name="Currency 9 3 3" xfId="2178"/>
    <cellStyle name="Currency 9 3 3 2" xfId="2179"/>
    <cellStyle name="Currency 9 3 4" xfId="2180"/>
    <cellStyle name="Currency 9 4" xfId="2181"/>
    <cellStyle name="Currency 9 4 2" xfId="2182"/>
    <cellStyle name="Currency 9 4 2 2" xfId="2183"/>
    <cellStyle name="Currency 9 4 3" xfId="2184"/>
    <cellStyle name="Currency 9 5" xfId="2185"/>
    <cellStyle name="Currency 9 5 2" xfId="2186"/>
    <cellStyle name="Currency 9 6" xfId="2187"/>
    <cellStyle name="Currency Per Share" xfId="2188"/>
    <cellStyle name="Currency--" xfId="2189"/>
    <cellStyle name="Currency0" xfId="2190"/>
    <cellStyle name="Currency2" xfId="2191"/>
    <cellStyle name="CUS.Work.Area" xfId="2192"/>
    <cellStyle name="Dash" xfId="2193"/>
    <cellStyle name="Data" xfId="2194"/>
    <cellStyle name="Data 2" xfId="2195"/>
    <cellStyle name="Data 3" xfId="2196"/>
    <cellStyle name="Date" xfId="2197"/>
    <cellStyle name="Date [mm-d-yyyy]" xfId="2198"/>
    <cellStyle name="Date [mm-dd-yyyy]" xfId="2199"/>
    <cellStyle name="Date [mm-dd-yyyy] 2" xfId="2200"/>
    <cellStyle name="Date [mmm-yyyy]" xfId="2201"/>
    <cellStyle name="Date Aligned" xfId="2202"/>
    <cellStyle name="Date Aligned*" xfId="2203"/>
    <cellStyle name="Date Short" xfId="2204"/>
    <cellStyle name="date_ Pies " xfId="2205"/>
    <cellStyle name="DblLineDollarAcct" xfId="2206"/>
    <cellStyle name="DblLinePercent" xfId="2207"/>
    <cellStyle name="Dezimal [0]_A17 - 31.03.1998" xfId="2208"/>
    <cellStyle name="Dezimal_A17 - 31.03.1998" xfId="2209"/>
    <cellStyle name="Dia" xfId="2210"/>
    <cellStyle name="Dollar_ Pies " xfId="2211"/>
    <cellStyle name="DollarAccounting" xfId="2212"/>
    <cellStyle name="Dotted Line" xfId="2213"/>
    <cellStyle name="Dotted Line 2" xfId="2214"/>
    <cellStyle name="Dotted Line 3" xfId="2215"/>
    <cellStyle name="Double Accounting" xfId="2216"/>
    <cellStyle name="Duizenden" xfId="2217"/>
    <cellStyle name="Encabez1" xfId="2218"/>
    <cellStyle name="Encabez2" xfId="2219"/>
    <cellStyle name="Enter Currency (0)" xfId="2220"/>
    <cellStyle name="Enter Currency (2)" xfId="2221"/>
    <cellStyle name="Enter Units (0)" xfId="2222"/>
    <cellStyle name="Enter Units (1)" xfId="2223"/>
    <cellStyle name="Enter Units (2)" xfId="2224"/>
    <cellStyle name="Entrée" xfId="2225"/>
    <cellStyle name="Euro" xfId="2226"/>
    <cellStyle name="Explanatory Text 2 2" xfId="2227"/>
    <cellStyle name="Explanatory Text 2 3" xfId="2228"/>
    <cellStyle name="Explanatory Text 2 4" xfId="2229"/>
    <cellStyle name="Explanatory Text 2 5" xfId="2230"/>
    <cellStyle name="Explanatory Text 2 6" xfId="2231"/>
    <cellStyle name="Explanatory Text 2 7" xfId="2232"/>
    <cellStyle name="Explanatory Text 2 8" xfId="2233"/>
    <cellStyle name="Explanatory Text 2 9" xfId="2234"/>
    <cellStyle name="Explanatory Text 3" xfId="2235"/>
    <cellStyle name="fact" xfId="2236"/>
    <cellStyle name="FieldName" xfId="2237"/>
    <cellStyle name="Fijo" xfId="2238"/>
    <cellStyle name="Financiero" xfId="2239"/>
    <cellStyle name="Fixed" xfId="2240"/>
    <cellStyle name="Followed Hyperlink 2" xfId="2241"/>
    <cellStyle name="Footnote" xfId="2242"/>
    <cellStyle name="Good 2 2" xfId="2243"/>
    <cellStyle name="Good 2 3" xfId="2244"/>
    <cellStyle name="Good 2 4" xfId="2245"/>
    <cellStyle name="Good 2 5" xfId="2246"/>
    <cellStyle name="Good 2 6" xfId="2247"/>
    <cellStyle name="Good 2 7" xfId="2248"/>
    <cellStyle name="Good 2 8" xfId="2249"/>
    <cellStyle name="Good 2 9" xfId="2250"/>
    <cellStyle name="Good 3" xfId="2251"/>
    <cellStyle name="Grey" xfId="2252"/>
    <cellStyle name="GWN Table Body" xfId="2253"/>
    <cellStyle name="GWN Table Header" xfId="2254"/>
    <cellStyle name="GWN Table Left Header" xfId="2255"/>
    <cellStyle name="GWN Table Note" xfId="2256"/>
    <cellStyle name="GWN Table Title" xfId="2257"/>
    <cellStyle name="hard no" xfId="2258"/>
    <cellStyle name="Hard Percent" xfId="2259"/>
    <cellStyle name="hardno" xfId="2260"/>
    <cellStyle name="Header" xfId="2261"/>
    <cellStyle name="Header1" xfId="2262"/>
    <cellStyle name="Header2" xfId="2263"/>
    <cellStyle name="Heading" xfId="2264"/>
    <cellStyle name="Heading 1 2 2" xfId="2265"/>
    <cellStyle name="Heading 1 2 3" xfId="2266"/>
    <cellStyle name="Heading 1 2 4" xfId="2267"/>
    <cellStyle name="Heading 1 2 5" xfId="2268"/>
    <cellStyle name="Heading 1 2 6" xfId="2269"/>
    <cellStyle name="Heading 1 3" xfId="2270"/>
    <cellStyle name="Heading 2 2 2" xfId="2271"/>
    <cellStyle name="Heading 2 2 3" xfId="2272"/>
    <cellStyle name="Heading 2 2 4" xfId="2273"/>
    <cellStyle name="Heading 2 2 5" xfId="2274"/>
    <cellStyle name="Heading 2 2 6" xfId="2275"/>
    <cellStyle name="Heading 2 3" xfId="2276"/>
    <cellStyle name="Heading 3 2 2" xfId="2277"/>
    <cellStyle name="Heading 3 2 3" xfId="2278"/>
    <cellStyle name="Heading 3 2 4" xfId="2279"/>
    <cellStyle name="Heading 3 2 5" xfId="2280"/>
    <cellStyle name="Heading 3 2 6" xfId="2281"/>
    <cellStyle name="Heading 3 2 7" xfId="2282"/>
    <cellStyle name="Heading 3 3" xfId="2283"/>
    <cellStyle name="Heading 4 2 2" xfId="2284"/>
    <cellStyle name="Heading 4 3" xfId="2285"/>
    <cellStyle name="Heading2" xfId="2286"/>
    <cellStyle name="Heading3" xfId="2287"/>
    <cellStyle name="HeadingColumn" xfId="2288"/>
    <cellStyle name="HeadingS" xfId="2289"/>
    <cellStyle name="HeadingYear" xfId="2290"/>
    <cellStyle name="HeadlineStyle" xfId="2291"/>
    <cellStyle name="HeadlineStyleJustified" xfId="2292"/>
    <cellStyle name="Hed Side_Sheet1" xfId="2293"/>
    <cellStyle name="Hed Top" xfId="2294"/>
    <cellStyle name="Hyperlink 2" xfId="2295"/>
    <cellStyle name="Hyperlink 2 10" xfId="2296"/>
    <cellStyle name="Hyperlink 2 11" xfId="2297"/>
    <cellStyle name="Hyperlink 2 12" xfId="2298"/>
    <cellStyle name="Hyperlink 2 13" xfId="2299"/>
    <cellStyle name="Hyperlink 2 2" xfId="2300"/>
    <cellStyle name="Hyperlink 2 2 2" xfId="2301"/>
    <cellStyle name="Hyperlink 2 3" xfId="2302"/>
    <cellStyle name="Hyperlink 2 3 2" xfId="2303"/>
    <cellStyle name="Hyperlink 2 4" xfId="2304"/>
    <cellStyle name="Hyperlink 2 5" xfId="2305"/>
    <cellStyle name="Hyperlink 2 6" xfId="2306"/>
    <cellStyle name="Hyperlink 2 7" xfId="2307"/>
    <cellStyle name="Hyperlink 2 8" xfId="2308"/>
    <cellStyle name="Hyperlink 2 9" xfId="2309"/>
    <cellStyle name="Hyperlink 3" xfId="2310"/>
    <cellStyle name="Hyperlink 3 10" xfId="2311"/>
    <cellStyle name="Hyperlink 3 11" xfId="2312"/>
    <cellStyle name="Hyperlink 3 12" xfId="2313"/>
    <cellStyle name="Hyperlink 3 2" xfId="2314"/>
    <cellStyle name="Hyperlink 3 3" xfId="2315"/>
    <cellStyle name="Hyperlink 3 4" xfId="2316"/>
    <cellStyle name="Hyperlink 3 5" xfId="2317"/>
    <cellStyle name="Hyperlink 3 6" xfId="2318"/>
    <cellStyle name="Hyperlink 3 7" xfId="2319"/>
    <cellStyle name="Hyperlink 3 8" xfId="2320"/>
    <cellStyle name="Hyperlink 3 9" xfId="2321"/>
    <cellStyle name="Hyperlink 4" xfId="2322"/>
    <cellStyle name="Hyperlink 5" xfId="2323"/>
    <cellStyle name="InLink_Acquis_CapitalCost " xfId="2324"/>
    <cellStyle name="Input (1dp#)_ Pies " xfId="2325"/>
    <cellStyle name="Input [yellow]" xfId="2326"/>
    <cellStyle name="Input 2 4" xfId="2327"/>
    <cellStyle name="Input 2 5" xfId="2328"/>
    <cellStyle name="Input 2 6" xfId="2329"/>
    <cellStyle name="Input 2 7" xfId="2330"/>
    <cellStyle name="Input 2 8" xfId="2331"/>
    <cellStyle name="Input 2 9" xfId="2332"/>
    <cellStyle name="Input 3" xfId="2333"/>
    <cellStyle name="InputBlueFont" xfId="2334"/>
    <cellStyle name="InputGen" xfId="2335"/>
    <cellStyle name="InputKeepColour" xfId="2336"/>
    <cellStyle name="InputKeepPale" xfId="2337"/>
    <cellStyle name="InputVariColour" xfId="2338"/>
    <cellStyle name="Integer" xfId="2339"/>
    <cellStyle name="Invisible" xfId="2340"/>
    <cellStyle name="Item" xfId="2341"/>
    <cellStyle name="Items_Obligatory" xfId="2342"/>
    <cellStyle name="ItemTypeClass" xfId="2343"/>
    <cellStyle name="KP_Normal" xfId="2344"/>
    <cellStyle name="Lien hypertexte visité_index" xfId="2345"/>
    <cellStyle name="Lien hypertexte_index" xfId="2346"/>
    <cellStyle name="ligne_detail" xfId="2347"/>
    <cellStyle name="Line" xfId="2348"/>
    <cellStyle name="Link Currency (0)" xfId="2349"/>
    <cellStyle name="Link Currency (2)" xfId="2350"/>
    <cellStyle name="Link Units (0)" xfId="2351"/>
    <cellStyle name="Link Units (1)" xfId="2352"/>
    <cellStyle name="Link Units (2)" xfId="2353"/>
    <cellStyle name="Linked Cell 2 2" xfId="2354"/>
    <cellStyle name="Linked Cell 2 3" xfId="2355"/>
    <cellStyle name="Linked Cell 2 4" xfId="2356"/>
    <cellStyle name="Linked Cell 2 5" xfId="2357"/>
    <cellStyle name="Linked Cell 2 6" xfId="2358"/>
    <cellStyle name="Linked Cell 2 7" xfId="2359"/>
    <cellStyle name="Linked Cell 2 8" xfId="2360"/>
    <cellStyle name="Linked Cell 2 9" xfId="2361"/>
    <cellStyle name="Linked Cell 3" xfId="2362"/>
    <cellStyle name="m/d/yy" xfId="2363"/>
    <cellStyle name="m1" xfId="2364"/>
    <cellStyle name="Major item" xfId="2365"/>
    <cellStyle name="Margin" xfId="2366"/>
    <cellStyle name="Migliaia (0)_Sheet1" xfId="2367"/>
    <cellStyle name="Migliaia_piv_polio" xfId="2368"/>
    <cellStyle name="Millares [0]_Asset Mgmt " xfId="2369"/>
    <cellStyle name="Millares_2AV_M_M " xfId="2370"/>
    <cellStyle name="Milliers [0]_CANADA1" xfId="2371"/>
    <cellStyle name="Milliers 2" xfId="2372"/>
    <cellStyle name="Milliers_CANADA1" xfId="2373"/>
    <cellStyle name="mm/dd/yy" xfId="2374"/>
    <cellStyle name="mod1" xfId="2375"/>
    <cellStyle name="modelo1" xfId="2376"/>
    <cellStyle name="Moneda [0]_2AV_M_M " xfId="2377"/>
    <cellStyle name="Moneda_2AV_M_M " xfId="2378"/>
    <cellStyle name="Monétaire [0]_CANADA1" xfId="2379"/>
    <cellStyle name="Monétaire 2" xfId="2380"/>
    <cellStyle name="Monétaire_CANADA1" xfId="2381"/>
    <cellStyle name="Monetario" xfId="2382"/>
    <cellStyle name="MonthYears" xfId="2383"/>
    <cellStyle name="Multiple" xfId="2384"/>
    <cellStyle name="Multiple (no x)" xfId="2385"/>
    <cellStyle name="Multiple (x)" xfId="2386"/>
    <cellStyle name="Multiple [0]" xfId="2387"/>
    <cellStyle name="Multiple [1]" xfId="2388"/>
    <cellStyle name="Multiple [2]" xfId="2389"/>
    <cellStyle name="Multiple [3]" xfId="2390"/>
    <cellStyle name="Multiple_1030171N" xfId="2391"/>
    <cellStyle name="neg0.0_CapitalCost " xfId="2392"/>
    <cellStyle name="Neutral 2 2" xfId="2393"/>
    <cellStyle name="Neutral 2 3" xfId="2394"/>
    <cellStyle name="Neutral 2 4" xfId="2395"/>
    <cellStyle name="Neutral 2 5" xfId="2396"/>
    <cellStyle name="Neutral 2 6" xfId="2397"/>
    <cellStyle name="Neutral 2 7" xfId="2398"/>
    <cellStyle name="Neutral 2 8" xfId="2399"/>
    <cellStyle name="Neutral 2 9" xfId="2400"/>
    <cellStyle name="Neutral 3" xfId="2401"/>
    <cellStyle name="New" xfId="2402"/>
    <cellStyle name="Nil" xfId="2403"/>
    <cellStyle name="no dec" xfId="2404"/>
    <cellStyle name="No-definido" xfId="2405"/>
    <cellStyle name="Non_Input_Cell_Figures" xfId="2406"/>
    <cellStyle name="NonPrintingArea" xfId="2407"/>
    <cellStyle name="NORAYAS" xfId="2408"/>
    <cellStyle name="Normal - Style1" xfId="2409"/>
    <cellStyle name="Normal [0]" xfId="2410"/>
    <cellStyle name="Normal [1]" xfId="2411"/>
    <cellStyle name="Normal [3]" xfId="2412"/>
    <cellStyle name="Normal [3] 2" xfId="2413"/>
    <cellStyle name="Normal [3] 3" xfId="2414"/>
    <cellStyle name="Normal 10" xfId="2415"/>
    <cellStyle name="Normal 10 2" xfId="2416"/>
    <cellStyle name="Normal 10 3" xfId="2417"/>
    <cellStyle name="Normal 10 4" xfId="2418"/>
    <cellStyle name="Normal 10 5" xfId="2419"/>
    <cellStyle name="Normal 10 6" xfId="2420"/>
    <cellStyle name="Normal 11" xfId="2421"/>
    <cellStyle name="Normal 11 2" xfId="2422"/>
    <cellStyle name="Normal 11 2 2" xfId="2423"/>
    <cellStyle name="Normal 11 3" xfId="2424"/>
    <cellStyle name="Normal 11 4" xfId="2425"/>
    <cellStyle name="Normal 11 5" xfId="2426"/>
    <cellStyle name="Normal 11 6" xfId="2427"/>
    <cellStyle name="Normal 11 7" xfId="2428"/>
    <cellStyle name="Normal 12" xfId="2429"/>
    <cellStyle name="Normal 12 2" xfId="2430"/>
    <cellStyle name="Normal 12 3" xfId="2431"/>
    <cellStyle name="Normal 12 4" xfId="2432"/>
    <cellStyle name="Normal 12 5" xfId="2433"/>
    <cellStyle name="Normal 13" xfId="2434"/>
    <cellStyle name="Normal 13 2" xfId="2435"/>
    <cellStyle name="Normal 13 3" xfId="2436"/>
    <cellStyle name="Normal 14" xfId="2437"/>
    <cellStyle name="Normal 14 2" xfId="2438"/>
    <cellStyle name="Normal 14 3" xfId="2439"/>
    <cellStyle name="Normal 15" xfId="2440"/>
    <cellStyle name="Normal 15 2" xfId="2441"/>
    <cellStyle name="Normal 15 2 2" xfId="2442"/>
    <cellStyle name="Normal 15 3" xfId="2443"/>
    <cellStyle name="Normal 15 4" xfId="2444"/>
    <cellStyle name="Normal 16" xfId="2445"/>
    <cellStyle name="Normal 16 2" xfId="2446"/>
    <cellStyle name="Normal 16 3" xfId="2447"/>
    <cellStyle name="Normal 17" xfId="2448"/>
    <cellStyle name="Normal 18" xfId="2449"/>
    <cellStyle name="Normal 18 2" xfId="2450"/>
    <cellStyle name="Normal 19" xfId="2451"/>
    <cellStyle name="Normal 2 10" xfId="2452"/>
    <cellStyle name="Normal 2 10 2" xfId="2453"/>
    <cellStyle name="Normal 2 11" xfId="2454"/>
    <cellStyle name="Normal 2 11 2" xfId="2455"/>
    <cellStyle name="Normal 2 12" xfId="2456"/>
    <cellStyle name="Normal 2 12 2" xfId="2457"/>
    <cellStyle name="Normal 2 13" xfId="2458"/>
    <cellStyle name="Normal 2 13 2" xfId="2459"/>
    <cellStyle name="Normal 2 14" xfId="2460"/>
    <cellStyle name="Normal 2 14 2" xfId="2461"/>
    <cellStyle name="Normal 2 15" xfId="2462"/>
    <cellStyle name="Normal 2 15 2" xfId="2463"/>
    <cellStyle name="Normal 2 16" xfId="2464"/>
    <cellStyle name="Normal 2 16 2" xfId="2465"/>
    <cellStyle name="Normal 2 17" xfId="2466"/>
    <cellStyle name="Normal 2 17 2" xfId="2467"/>
    <cellStyle name="Normal 2 18" xfId="2468"/>
    <cellStyle name="Normal 2 18 2" xfId="2469"/>
    <cellStyle name="Normal 2 19" xfId="2470"/>
    <cellStyle name="Normal 2 19 2" xfId="2471"/>
    <cellStyle name="Normal 2 2 2 2" xfId="2472"/>
    <cellStyle name="Normal 2 2 2 2 2" xfId="2473"/>
    <cellStyle name="Normal 2 2 2 3" xfId="2474"/>
    <cellStyle name="Normal 2 2 2 4" xfId="2475"/>
    <cellStyle name="Normal 2 2 2 5" xfId="2476"/>
    <cellStyle name="Normal 2 2 2 6" xfId="2477"/>
    <cellStyle name="Normal 2 2 3" xfId="2478"/>
    <cellStyle name="Normal 2 2 4" xfId="2479"/>
    <cellStyle name="Normal 2 2 4 2" xfId="2480"/>
    <cellStyle name="Normal 2 2 4 3" xfId="2481"/>
    <cellStyle name="Normal 2 2 5" xfId="2482"/>
    <cellStyle name="Normal 2 2 6" xfId="2483"/>
    <cellStyle name="Normal 2 20" xfId="2484"/>
    <cellStyle name="Normal 2 20 2" xfId="2485"/>
    <cellStyle name="Normal 2 21" xfId="2486"/>
    <cellStyle name="Normal 2 21 2" xfId="2487"/>
    <cellStyle name="Normal 2 22" xfId="2488"/>
    <cellStyle name="Normal 2 22 2" xfId="2489"/>
    <cellStyle name="Normal 2 23" xfId="2490"/>
    <cellStyle name="Normal 2 23 2" xfId="2491"/>
    <cellStyle name="Normal 2 24" xfId="2492"/>
    <cellStyle name="Normal 2 24 2" xfId="2493"/>
    <cellStyle name="Normal 2 24 2 2" xfId="2494"/>
    <cellStyle name="Normal 2 24 3" xfId="2495"/>
    <cellStyle name="Normal 2 24 4" xfId="2496"/>
    <cellStyle name="Normal 2 25" xfId="2497"/>
    <cellStyle name="Normal 2 25 2" xfId="2498"/>
    <cellStyle name="Normal 2 26" xfId="2499"/>
    <cellStyle name="Normal 2 26 2" xfId="2500"/>
    <cellStyle name="Normal 2 27" xfId="2501"/>
    <cellStyle name="Normal 2 27 2" xfId="2502"/>
    <cellStyle name="Normal 2 28" xfId="2503"/>
    <cellStyle name="Normal 2 28 2" xfId="2504"/>
    <cellStyle name="Normal 2 29" xfId="2505"/>
    <cellStyle name="Normal 2 29 2" xfId="2506"/>
    <cellStyle name="Normal 2 3 2" xfId="2507"/>
    <cellStyle name="Normal 2 3 3" xfId="2508"/>
    <cellStyle name="Normal 2 30" xfId="2509"/>
    <cellStyle name="Normal 2 30 2" xfId="2510"/>
    <cellStyle name="Normal 2 31" xfId="2511"/>
    <cellStyle name="Normal 2 31 2" xfId="2512"/>
    <cellStyle name="Normal 2 32" xfId="2513"/>
    <cellStyle name="Normal 2 33" xfId="2514"/>
    <cellStyle name="Normal 2 34" xfId="2515"/>
    <cellStyle name="Normal 2 35" xfId="2516"/>
    <cellStyle name="Normal 2 36" xfId="2517"/>
    <cellStyle name="Normal 2 37" xfId="2518"/>
    <cellStyle name="Normal 2 38" xfId="2519"/>
    <cellStyle name="Normal 2 38 2" xfId="2520"/>
    <cellStyle name="Normal 2 39" xfId="2521"/>
    <cellStyle name="Normal 2 4 2" xfId="2522"/>
    <cellStyle name="Normal 2 4 3" xfId="2523"/>
    <cellStyle name="Normal 2 4 4" xfId="2524"/>
    <cellStyle name="Normal 2 40" xfId="2525"/>
    <cellStyle name="Normal 2 41" xfId="2526"/>
    <cellStyle name="Normal 2 42" xfId="2527"/>
    <cellStyle name="Normal 2 43" xfId="2528"/>
    <cellStyle name="Normal 2 44" xfId="2529"/>
    <cellStyle name="Normal 2 45" xfId="2530"/>
    <cellStyle name="Normal 2 46" xfId="2531"/>
    <cellStyle name="Normal 2 47" xfId="2532"/>
    <cellStyle name="Normal 2 5 2" xfId="2533"/>
    <cellStyle name="Normal 2 5 3" xfId="2534"/>
    <cellStyle name="Normal 2 6" xfId="2535"/>
    <cellStyle name="Normal 2 6 2" xfId="2536"/>
    <cellStyle name="Normal 2 7" xfId="2537"/>
    <cellStyle name="Normal 2 7 2" xfId="2538"/>
    <cellStyle name="Normal 2 8" xfId="2539"/>
    <cellStyle name="Normal 2 8 2" xfId="2540"/>
    <cellStyle name="Normal 2 9" xfId="2541"/>
    <cellStyle name="Normal 2 9 2" xfId="2542"/>
    <cellStyle name="Normal 20" xfId="2543"/>
    <cellStyle name="Normal 21" xfId="2544"/>
    <cellStyle name="Normal 22" xfId="2545"/>
    <cellStyle name="Normal 23" xfId="2546"/>
    <cellStyle name="Normal 24" xfId="2547"/>
    <cellStyle name="Normal 25" xfId="2548"/>
    <cellStyle name="Normal 25 10" xfId="2549"/>
    <cellStyle name="Normal 25 100" xfId="2550"/>
    <cellStyle name="Normal 25 101" xfId="2551"/>
    <cellStyle name="Normal 25 102" xfId="2552"/>
    <cellStyle name="Normal 25 103" xfId="2553"/>
    <cellStyle name="Normal 25 104" xfId="2554"/>
    <cellStyle name="Normal 25 105" xfId="2555"/>
    <cellStyle name="Normal 25 106" xfId="2556"/>
    <cellStyle name="Normal 25 107" xfId="2557"/>
    <cellStyle name="Normal 25 108" xfId="2558"/>
    <cellStyle name="Normal 25 109" xfId="2559"/>
    <cellStyle name="Normal 25 11" xfId="2560"/>
    <cellStyle name="Normal 25 12" xfId="2561"/>
    <cellStyle name="Normal 25 13" xfId="2562"/>
    <cellStyle name="Normal 25 14" xfId="2563"/>
    <cellStyle name="Normal 25 15" xfId="2564"/>
    <cellStyle name="Normal 25 16" xfId="2565"/>
    <cellStyle name="Normal 25 17" xfId="2566"/>
    <cellStyle name="Normal 25 18" xfId="2567"/>
    <cellStyle name="Normal 25 19" xfId="2568"/>
    <cellStyle name="Normal 25 2" xfId="2569"/>
    <cellStyle name="Normal 25 20" xfId="2570"/>
    <cellStyle name="Normal 25 21" xfId="2571"/>
    <cellStyle name="Normal 25 22" xfId="2572"/>
    <cellStyle name="Normal 25 23" xfId="2573"/>
    <cellStyle name="Normal 25 24" xfId="2574"/>
    <cellStyle name="Normal 25 25" xfId="2575"/>
    <cellStyle name="Normal 25 26" xfId="2576"/>
    <cellStyle name="Normal 25 27" xfId="2577"/>
    <cellStyle name="Normal 25 28" xfId="2578"/>
    <cellStyle name="Normal 25 29" xfId="2579"/>
    <cellStyle name="Normal 25 3" xfId="2580"/>
    <cellStyle name="Normal 25 30" xfId="2581"/>
    <cellStyle name="Normal 25 31" xfId="2582"/>
    <cellStyle name="Normal 25 32" xfId="2583"/>
    <cellStyle name="Normal 25 33" xfId="2584"/>
    <cellStyle name="Normal 25 34" xfId="2585"/>
    <cellStyle name="Normal 25 35" xfId="2586"/>
    <cellStyle name="Normal 25 36" xfId="2587"/>
    <cellStyle name="Normal 25 37" xfId="2588"/>
    <cellStyle name="Normal 25 38" xfId="2589"/>
    <cellStyle name="Normal 25 39" xfId="2590"/>
    <cellStyle name="Normal 25 4" xfId="2591"/>
    <cellStyle name="Normal 25 40" xfId="2592"/>
    <cellStyle name="Normal 25 41" xfId="2593"/>
    <cellStyle name="Normal 25 42" xfId="2594"/>
    <cellStyle name="Normal 25 43" xfId="2595"/>
    <cellStyle name="Normal 25 44" xfId="2596"/>
    <cellStyle name="Normal 25 45" xfId="2597"/>
    <cellStyle name="Normal 25 46" xfId="2598"/>
    <cellStyle name="Normal 25 47" xfId="2599"/>
    <cellStyle name="Normal 25 48" xfId="2600"/>
    <cellStyle name="Normal 25 49" xfId="2601"/>
    <cellStyle name="Normal 25 5" xfId="2602"/>
    <cellStyle name="Normal 25 50" xfId="2603"/>
    <cellStyle name="Normal 25 51" xfId="2604"/>
    <cellStyle name="Normal 25 52" xfId="2605"/>
    <cellStyle name="Normal 25 53" xfId="2606"/>
    <cellStyle name="Normal 25 54" xfId="2607"/>
    <cellStyle name="Normal 25 55" xfId="2608"/>
    <cellStyle name="Normal 25 56" xfId="2609"/>
    <cellStyle name="Normal 25 57" xfId="2610"/>
    <cellStyle name="Normal 25 58" xfId="2611"/>
    <cellStyle name="Normal 25 59" xfId="2612"/>
    <cellStyle name="Normal 25 6" xfId="2613"/>
    <cellStyle name="Normal 25 60" xfId="2614"/>
    <cellStyle name="Normal 25 61" xfId="2615"/>
    <cellStyle name="Normal 25 62" xfId="2616"/>
    <cellStyle name="Normal 25 63" xfId="2617"/>
    <cellStyle name="Normal 25 64" xfId="2618"/>
    <cellStyle name="Normal 25 65" xfId="2619"/>
    <cellStyle name="Normal 25 66" xfId="2620"/>
    <cellStyle name="Normal 25 67" xfId="2621"/>
    <cellStyle name="Normal 25 68" xfId="2622"/>
    <cellStyle name="Normal 25 69" xfId="2623"/>
    <cellStyle name="Normal 25 7" xfId="2624"/>
    <cellStyle name="Normal 25 70" xfId="2625"/>
    <cellStyle name="Normal 25 71" xfId="2626"/>
    <cellStyle name="Normal 25 72" xfId="2627"/>
    <cellStyle name="Normal 25 73" xfId="2628"/>
    <cellStyle name="Normal 25 74" xfId="2629"/>
    <cellStyle name="Normal 25 75" xfId="2630"/>
    <cellStyle name="Normal 25 76" xfId="2631"/>
    <cellStyle name="Normal 25 77" xfId="2632"/>
    <cellStyle name="Normal 25 78" xfId="2633"/>
    <cellStyle name="Normal 25 79" xfId="2634"/>
    <cellStyle name="Normal 25 8" xfId="2635"/>
    <cellStyle name="Normal 25 80" xfId="2636"/>
    <cellStyle name="Normal 25 81" xfId="2637"/>
    <cellStyle name="Normal 25 82" xfId="2638"/>
    <cellStyle name="Normal 25 83" xfId="2639"/>
    <cellStyle name="Normal 25 84" xfId="2640"/>
    <cellStyle name="Normal 25 85" xfId="2641"/>
    <cellStyle name="Normal 25 86" xfId="2642"/>
    <cellStyle name="Normal 25 87" xfId="2643"/>
    <cellStyle name="Normal 25 88" xfId="2644"/>
    <cellStyle name="Normal 25 89" xfId="2645"/>
    <cellStyle name="Normal 25 9" xfId="2646"/>
    <cellStyle name="Normal 25 90" xfId="2647"/>
    <cellStyle name="Normal 25 91" xfId="2648"/>
    <cellStyle name="Normal 25 92" xfId="2649"/>
    <cellStyle name="Normal 25 93" xfId="2650"/>
    <cellStyle name="Normal 25 94" xfId="2651"/>
    <cellStyle name="Normal 25 95" xfId="2652"/>
    <cellStyle name="Normal 25 96" xfId="2653"/>
    <cellStyle name="Normal 25 97" xfId="2654"/>
    <cellStyle name="Normal 25 98" xfId="2655"/>
    <cellStyle name="Normal 25 99" xfId="2656"/>
    <cellStyle name="Normal 26" xfId="2657"/>
    <cellStyle name="Normal 26 10" xfId="2658"/>
    <cellStyle name="Normal 26 100" xfId="2659"/>
    <cellStyle name="Normal 26 101" xfId="2660"/>
    <cellStyle name="Normal 26 102" xfId="2661"/>
    <cellStyle name="Normal 26 103" xfId="2662"/>
    <cellStyle name="Normal 26 104" xfId="2663"/>
    <cellStyle name="Normal 26 105" xfId="2664"/>
    <cellStyle name="Normal 26 106" xfId="2665"/>
    <cellStyle name="Normal 26 107" xfId="2666"/>
    <cellStyle name="Normal 26 108" xfId="2667"/>
    <cellStyle name="Normal 26 109" xfId="2668"/>
    <cellStyle name="Normal 26 11" xfId="2669"/>
    <cellStyle name="Normal 26 12" xfId="2670"/>
    <cellStyle name="Normal 26 13" xfId="2671"/>
    <cellStyle name="Normal 26 14" xfId="2672"/>
    <cellStyle name="Normal 26 15" xfId="2673"/>
    <cellStyle name="Normal 26 16" xfId="2674"/>
    <cellStyle name="Normal 26 17" xfId="2675"/>
    <cellStyle name="Normal 26 18" xfId="2676"/>
    <cellStyle name="Normal 26 19" xfId="2677"/>
    <cellStyle name="Normal 26 2" xfId="2678"/>
    <cellStyle name="Normal 26 20" xfId="2679"/>
    <cellStyle name="Normal 26 21" xfId="2680"/>
    <cellStyle name="Normal 26 22" xfId="2681"/>
    <cellStyle name="Normal 26 23" xfId="2682"/>
    <cellStyle name="Normal 26 24" xfId="2683"/>
    <cellStyle name="Normal 26 25" xfId="2684"/>
    <cellStyle name="Normal 26 26" xfId="2685"/>
    <cellStyle name="Normal 26 27" xfId="2686"/>
    <cellStyle name="Normal 26 28" xfId="2687"/>
    <cellStyle name="Normal 26 29" xfId="2688"/>
    <cellStyle name="Normal 26 3" xfId="2689"/>
    <cellStyle name="Normal 26 30" xfId="2690"/>
    <cellStyle name="Normal 26 31" xfId="2691"/>
    <cellStyle name="Normal 26 32" xfId="2692"/>
    <cellStyle name="Normal 26 33" xfId="2693"/>
    <cellStyle name="Normal 26 34" xfId="2694"/>
    <cellStyle name="Normal 26 35" xfId="2695"/>
    <cellStyle name="Normal 26 36" xfId="2696"/>
    <cellStyle name="Normal 26 37" xfId="2697"/>
    <cellStyle name="Normal 26 38" xfId="2698"/>
    <cellStyle name="Normal 26 39" xfId="2699"/>
    <cellStyle name="Normal 26 4" xfId="2700"/>
    <cellStyle name="Normal 26 40" xfId="2701"/>
    <cellStyle name="Normal 26 41" xfId="2702"/>
    <cellStyle name="Normal 26 42" xfId="2703"/>
    <cellStyle name="Normal 26 43" xfId="2704"/>
    <cellStyle name="Normal 26 44" xfId="2705"/>
    <cellStyle name="Normal 26 45" xfId="2706"/>
    <cellStyle name="Normal 26 46" xfId="2707"/>
    <cellStyle name="Normal 26 47" xfId="2708"/>
    <cellStyle name="Normal 26 48" xfId="2709"/>
    <cellStyle name="Normal 26 49" xfId="2710"/>
    <cellStyle name="Normal 26 5" xfId="2711"/>
    <cellStyle name="Normal 26 50" xfId="2712"/>
    <cellStyle name="Normal 26 51" xfId="2713"/>
    <cellStyle name="Normal 26 52" xfId="2714"/>
    <cellStyle name="Normal 26 53" xfId="2715"/>
    <cellStyle name="Normal 26 54" xfId="2716"/>
    <cellStyle name="Normal 26 55" xfId="2717"/>
    <cellStyle name="Normal 26 56" xfId="2718"/>
    <cellStyle name="Normal 26 57" xfId="2719"/>
    <cellStyle name="Normal 26 58" xfId="2720"/>
    <cellStyle name="Normal 26 59" xfId="2721"/>
    <cellStyle name="Normal 26 6" xfId="2722"/>
    <cellStyle name="Normal 26 60" xfId="2723"/>
    <cellStyle name="Normal 26 61" xfId="2724"/>
    <cellStyle name="Normal 26 62" xfId="2725"/>
    <cellStyle name="Normal 26 63" xfId="2726"/>
    <cellStyle name="Normal 26 64" xfId="2727"/>
    <cellStyle name="Normal 26 65" xfId="2728"/>
    <cellStyle name="Normal 26 66" xfId="2729"/>
    <cellStyle name="Normal 26 67" xfId="2730"/>
    <cellStyle name="Normal 26 68" xfId="2731"/>
    <cellStyle name="Normal 26 69" xfId="2732"/>
    <cellStyle name="Normal 26 7" xfId="2733"/>
    <cellStyle name="Normal 26 70" xfId="2734"/>
    <cellStyle name="Normal 26 71" xfId="2735"/>
    <cellStyle name="Normal 26 72" xfId="2736"/>
    <cellStyle name="Normal 26 73" xfId="2737"/>
    <cellStyle name="Normal 26 74" xfId="2738"/>
    <cellStyle name="Normal 26 75" xfId="2739"/>
    <cellStyle name="Normal 26 76" xfId="2740"/>
    <cellStyle name="Normal 26 77" xfId="2741"/>
    <cellStyle name="Normal 26 78" xfId="2742"/>
    <cellStyle name="Normal 26 79" xfId="2743"/>
    <cellStyle name="Normal 26 8" xfId="2744"/>
    <cellStyle name="Normal 26 80" xfId="2745"/>
    <cellStyle name="Normal 26 81" xfId="2746"/>
    <cellStyle name="Normal 26 82" xfId="2747"/>
    <cellStyle name="Normal 26 83" xfId="2748"/>
    <cellStyle name="Normal 26 84" xfId="2749"/>
    <cellStyle name="Normal 26 85" xfId="2750"/>
    <cellStyle name="Normal 26 86" xfId="2751"/>
    <cellStyle name="Normal 26 87" xfId="2752"/>
    <cellStyle name="Normal 26 88" xfId="2753"/>
    <cellStyle name="Normal 26 89" xfId="2754"/>
    <cellStyle name="Normal 26 9" xfId="2755"/>
    <cellStyle name="Normal 26 90" xfId="2756"/>
    <cellStyle name="Normal 26 91" xfId="2757"/>
    <cellStyle name="Normal 26 92" xfId="2758"/>
    <cellStyle name="Normal 26 93" xfId="2759"/>
    <cellStyle name="Normal 26 94" xfId="2760"/>
    <cellStyle name="Normal 26 95" xfId="2761"/>
    <cellStyle name="Normal 26 96" xfId="2762"/>
    <cellStyle name="Normal 26 97" xfId="2763"/>
    <cellStyle name="Normal 26 98" xfId="2764"/>
    <cellStyle name="Normal 26 99" xfId="2765"/>
    <cellStyle name="Normal 27" xfId="2766"/>
    <cellStyle name="Normal 27 10" xfId="2767"/>
    <cellStyle name="Normal 27 100" xfId="2768"/>
    <cellStyle name="Normal 27 101" xfId="2769"/>
    <cellStyle name="Normal 27 102" xfId="2770"/>
    <cellStyle name="Normal 27 103" xfId="2771"/>
    <cellStyle name="Normal 27 104" xfId="2772"/>
    <cellStyle name="Normal 27 105" xfId="2773"/>
    <cellStyle name="Normal 27 106" xfId="2774"/>
    <cellStyle name="Normal 27 107" xfId="2775"/>
    <cellStyle name="Normal 27 108" xfId="2776"/>
    <cellStyle name="Normal 27 109" xfId="2777"/>
    <cellStyle name="Normal 27 11" xfId="2778"/>
    <cellStyle name="Normal 27 12" xfId="2779"/>
    <cellStyle name="Normal 27 13" xfId="2780"/>
    <cellStyle name="Normal 27 14" xfId="2781"/>
    <cellStyle name="Normal 27 15" xfId="2782"/>
    <cellStyle name="Normal 27 16" xfId="2783"/>
    <cellStyle name="Normal 27 17" xfId="2784"/>
    <cellStyle name="Normal 27 18" xfId="2785"/>
    <cellStyle name="Normal 27 19" xfId="2786"/>
    <cellStyle name="Normal 27 2" xfId="2787"/>
    <cellStyle name="Normal 27 20" xfId="2788"/>
    <cellStyle name="Normal 27 21" xfId="2789"/>
    <cellStyle name="Normal 27 22" xfId="2790"/>
    <cellStyle name="Normal 27 23" xfId="2791"/>
    <cellStyle name="Normal 27 24" xfId="2792"/>
    <cellStyle name="Normal 27 25" xfId="2793"/>
    <cellStyle name="Normal 27 26" xfId="2794"/>
    <cellStyle name="Normal 27 27" xfId="2795"/>
    <cellStyle name="Normal 27 28" xfId="2796"/>
    <cellStyle name="Normal 27 29" xfId="2797"/>
    <cellStyle name="Normal 27 3" xfId="2798"/>
    <cellStyle name="Normal 27 30" xfId="2799"/>
    <cellStyle name="Normal 27 31" xfId="2800"/>
    <cellStyle name="Normal 27 32" xfId="2801"/>
    <cellStyle name="Normal 27 33" xfId="2802"/>
    <cellStyle name="Normal 27 34" xfId="2803"/>
    <cellStyle name="Normal 27 35" xfId="2804"/>
    <cellStyle name="Normal 27 36" xfId="2805"/>
    <cellStyle name="Normal 27 37" xfId="2806"/>
    <cellStyle name="Normal 27 38" xfId="2807"/>
    <cellStyle name="Normal 27 39" xfId="2808"/>
    <cellStyle name="Normal 27 4" xfId="2809"/>
    <cellStyle name="Normal 27 40" xfId="2810"/>
    <cellStyle name="Normal 27 41" xfId="2811"/>
    <cellStyle name="Normal 27 42" xfId="2812"/>
    <cellStyle name="Normal 27 43" xfId="2813"/>
    <cellStyle name="Normal 27 44" xfId="2814"/>
    <cellStyle name="Normal 27 45" xfId="2815"/>
    <cellStyle name="Normal 27 46" xfId="2816"/>
    <cellStyle name="Normal 27 47" xfId="2817"/>
    <cellStyle name="Normal 27 48" xfId="2818"/>
    <cellStyle name="Normal 27 49" xfId="2819"/>
    <cellStyle name="Normal 27 5" xfId="2820"/>
    <cellStyle name="Normal 27 50" xfId="2821"/>
    <cellStyle name="Normal 27 51" xfId="2822"/>
    <cellStyle name="Normal 27 52" xfId="2823"/>
    <cellStyle name="Normal 27 53" xfId="2824"/>
    <cellStyle name="Normal 27 54" xfId="2825"/>
    <cellStyle name="Normal 27 55" xfId="2826"/>
    <cellStyle name="Normal 27 56" xfId="2827"/>
    <cellStyle name="Normal 27 57" xfId="2828"/>
    <cellStyle name="Normal 27 58" xfId="2829"/>
    <cellStyle name="Normal 27 59" xfId="2830"/>
    <cellStyle name="Normal 27 6" xfId="2831"/>
    <cellStyle name="Normal 27 60" xfId="2832"/>
    <cellStyle name="Normal 27 61" xfId="2833"/>
    <cellStyle name="Normal 27 62" xfId="2834"/>
    <cellStyle name="Normal 27 63" xfId="2835"/>
    <cellStyle name="Normal 27 64" xfId="2836"/>
    <cellStyle name="Normal 27 65" xfId="2837"/>
    <cellStyle name="Normal 27 66" xfId="2838"/>
    <cellStyle name="Normal 27 67" xfId="2839"/>
    <cellStyle name="Normal 27 68" xfId="2840"/>
    <cellStyle name="Normal 27 69" xfId="2841"/>
    <cellStyle name="Normal 27 7" xfId="2842"/>
    <cellStyle name="Normal 27 70" xfId="2843"/>
    <cellStyle name="Normal 27 71" xfId="2844"/>
    <cellStyle name="Normal 27 72" xfId="2845"/>
    <cellStyle name="Normal 27 73" xfId="2846"/>
    <cellStyle name="Normal 27 74" xfId="2847"/>
    <cellStyle name="Normal 27 75" xfId="2848"/>
    <cellStyle name="Normal 27 76" xfId="2849"/>
    <cellStyle name="Normal 27 77" xfId="2850"/>
    <cellStyle name="Normal 27 78" xfId="2851"/>
    <cellStyle name="Normal 27 79" xfId="2852"/>
    <cellStyle name="Normal 27 8" xfId="2853"/>
    <cellStyle name="Normal 27 80" xfId="2854"/>
    <cellStyle name="Normal 27 81" xfId="2855"/>
    <cellStyle name="Normal 27 82" xfId="2856"/>
    <cellStyle name="Normal 27 83" xfId="2857"/>
    <cellStyle name="Normal 27 84" xfId="2858"/>
    <cellStyle name="Normal 27 85" xfId="2859"/>
    <cellStyle name="Normal 27 86" xfId="2860"/>
    <cellStyle name="Normal 27 87" xfId="2861"/>
    <cellStyle name="Normal 27 88" xfId="2862"/>
    <cellStyle name="Normal 27 89" xfId="2863"/>
    <cellStyle name="Normal 27 9" xfId="2864"/>
    <cellStyle name="Normal 27 90" xfId="2865"/>
    <cellStyle name="Normal 27 91" xfId="2866"/>
    <cellStyle name="Normal 27 92" xfId="2867"/>
    <cellStyle name="Normal 27 93" xfId="2868"/>
    <cellStyle name="Normal 27 94" xfId="2869"/>
    <cellStyle name="Normal 27 95" xfId="2870"/>
    <cellStyle name="Normal 27 96" xfId="2871"/>
    <cellStyle name="Normal 27 97" xfId="2872"/>
    <cellStyle name="Normal 27 98" xfId="2873"/>
    <cellStyle name="Normal 27 99" xfId="2874"/>
    <cellStyle name="Normal 28" xfId="2875"/>
    <cellStyle name="Normal 28 10" xfId="2876"/>
    <cellStyle name="Normal 28 100" xfId="2877"/>
    <cellStyle name="Normal 28 101" xfId="2878"/>
    <cellStyle name="Normal 28 102" xfId="2879"/>
    <cellStyle name="Normal 28 103" xfId="2880"/>
    <cellStyle name="Normal 28 104" xfId="2881"/>
    <cellStyle name="Normal 28 105" xfId="2882"/>
    <cellStyle name="Normal 28 106" xfId="2883"/>
    <cellStyle name="Normal 28 107" xfId="2884"/>
    <cellStyle name="Normal 28 108" xfId="2885"/>
    <cellStyle name="Normal 28 109" xfId="2886"/>
    <cellStyle name="Normal 28 11" xfId="2887"/>
    <cellStyle name="Normal 28 12" xfId="2888"/>
    <cellStyle name="Normal 28 13" xfId="2889"/>
    <cellStyle name="Normal 28 14" xfId="2890"/>
    <cellStyle name="Normal 28 15" xfId="2891"/>
    <cellStyle name="Normal 28 16" xfId="2892"/>
    <cellStyle name="Normal 28 17" xfId="2893"/>
    <cellStyle name="Normal 28 18" xfId="2894"/>
    <cellStyle name="Normal 28 19" xfId="2895"/>
    <cellStyle name="Normal 28 2" xfId="2896"/>
    <cellStyle name="Normal 28 20" xfId="2897"/>
    <cellStyle name="Normal 28 21" xfId="2898"/>
    <cellStyle name="Normal 28 22" xfId="2899"/>
    <cellStyle name="Normal 28 23" xfId="2900"/>
    <cellStyle name="Normal 28 24" xfId="2901"/>
    <cellStyle name="Normal 28 25" xfId="2902"/>
    <cellStyle name="Normal 28 26" xfId="2903"/>
    <cellStyle name="Normal 28 27" xfId="2904"/>
    <cellStyle name="Normal 28 28" xfId="2905"/>
    <cellStyle name="Normal 28 29" xfId="2906"/>
    <cellStyle name="Normal 28 3" xfId="2907"/>
    <cellStyle name="Normal 28 30" xfId="2908"/>
    <cellStyle name="Normal 28 31" xfId="2909"/>
    <cellStyle name="Normal 28 32" xfId="2910"/>
    <cellStyle name="Normal 28 33" xfId="2911"/>
    <cellStyle name="Normal 28 34" xfId="2912"/>
    <cellStyle name="Normal 28 35" xfId="2913"/>
    <cellStyle name="Normal 28 36" xfId="2914"/>
    <cellStyle name="Normal 28 37" xfId="2915"/>
    <cellStyle name="Normal 28 38" xfId="2916"/>
    <cellStyle name="Normal 28 39" xfId="2917"/>
    <cellStyle name="Normal 28 4" xfId="2918"/>
    <cellStyle name="Normal 28 40" xfId="2919"/>
    <cellStyle name="Normal 28 41" xfId="2920"/>
    <cellStyle name="Normal 28 42" xfId="2921"/>
    <cellStyle name="Normal 28 43" xfId="2922"/>
    <cellStyle name="Normal 28 44" xfId="2923"/>
    <cellStyle name="Normal 28 45" xfId="2924"/>
    <cellStyle name="Normal 28 46" xfId="2925"/>
    <cellStyle name="Normal 28 47" xfId="2926"/>
    <cellStyle name="Normal 28 48" xfId="2927"/>
    <cellStyle name="Normal 28 49" xfId="2928"/>
    <cellStyle name="Normal 28 5" xfId="2929"/>
    <cellStyle name="Normal 28 50" xfId="2930"/>
    <cellStyle name="Normal 28 51" xfId="2931"/>
    <cellStyle name="Normal 28 52" xfId="2932"/>
    <cellStyle name="Normal 28 53" xfId="2933"/>
    <cellStyle name="Normal 28 54" xfId="2934"/>
    <cellStyle name="Normal 28 55" xfId="2935"/>
    <cellStyle name="Normal 28 56" xfId="2936"/>
    <cellStyle name="Normal 28 57" xfId="2937"/>
    <cellStyle name="Normal 28 58" xfId="2938"/>
    <cellStyle name="Normal 28 59" xfId="2939"/>
    <cellStyle name="Normal 28 6" xfId="2940"/>
    <cellStyle name="Normal 28 60" xfId="2941"/>
    <cellStyle name="Normal 28 61" xfId="2942"/>
    <cellStyle name="Normal 28 62" xfId="2943"/>
    <cellStyle name="Normal 28 63" xfId="2944"/>
    <cellStyle name="Normal 28 64" xfId="2945"/>
    <cellStyle name="Normal 28 65" xfId="2946"/>
    <cellStyle name="Normal 28 66" xfId="2947"/>
    <cellStyle name="Normal 28 67" xfId="2948"/>
    <cellStyle name="Normal 28 68" xfId="2949"/>
    <cellStyle name="Normal 28 69" xfId="2950"/>
    <cellStyle name="Normal 28 7" xfId="2951"/>
    <cellStyle name="Normal 28 70" xfId="2952"/>
    <cellStyle name="Normal 28 71" xfId="2953"/>
    <cellStyle name="Normal 28 72" xfId="2954"/>
    <cellStyle name="Normal 28 73" xfId="2955"/>
    <cellStyle name="Normal 28 74" xfId="2956"/>
    <cellStyle name="Normal 28 75" xfId="2957"/>
    <cellStyle name="Normal 28 76" xfId="2958"/>
    <cellStyle name="Normal 28 77" xfId="2959"/>
    <cellStyle name="Normal 28 78" xfId="2960"/>
    <cellStyle name="Normal 28 79" xfId="2961"/>
    <cellStyle name="Normal 28 8" xfId="2962"/>
    <cellStyle name="Normal 28 80" xfId="2963"/>
    <cellStyle name="Normal 28 81" xfId="2964"/>
    <cellStyle name="Normal 28 82" xfId="2965"/>
    <cellStyle name="Normal 28 83" xfId="2966"/>
    <cellStyle name="Normal 28 84" xfId="2967"/>
    <cellStyle name="Normal 28 85" xfId="2968"/>
    <cellStyle name="Normal 28 86" xfId="2969"/>
    <cellStyle name="Normal 28 87" xfId="2970"/>
    <cellStyle name="Normal 28 88" xfId="2971"/>
    <cellStyle name="Normal 28 89" xfId="2972"/>
    <cellStyle name="Normal 28 9" xfId="2973"/>
    <cellStyle name="Normal 28 90" xfId="2974"/>
    <cellStyle name="Normal 28 91" xfId="2975"/>
    <cellStyle name="Normal 28 92" xfId="2976"/>
    <cellStyle name="Normal 28 93" xfId="2977"/>
    <cellStyle name="Normal 28 94" xfId="2978"/>
    <cellStyle name="Normal 28 95" xfId="2979"/>
    <cellStyle name="Normal 28 96" xfId="2980"/>
    <cellStyle name="Normal 28 97" xfId="2981"/>
    <cellStyle name="Normal 28 98" xfId="2982"/>
    <cellStyle name="Normal 28 99" xfId="2983"/>
    <cellStyle name="Normal 29" xfId="2984"/>
    <cellStyle name="Normal 29 10" xfId="2985"/>
    <cellStyle name="Normal 29 100" xfId="2986"/>
    <cellStyle name="Normal 29 101" xfId="2987"/>
    <cellStyle name="Normal 29 102" xfId="2988"/>
    <cellStyle name="Normal 29 103" xfId="2989"/>
    <cellStyle name="Normal 29 104" xfId="2990"/>
    <cellStyle name="Normal 29 105" xfId="2991"/>
    <cellStyle name="Normal 29 106" xfId="2992"/>
    <cellStyle name="Normal 29 107" xfId="2993"/>
    <cellStyle name="Normal 29 108" xfId="2994"/>
    <cellStyle name="Normal 29 109" xfId="2995"/>
    <cellStyle name="Normal 29 11" xfId="2996"/>
    <cellStyle name="Normal 29 12" xfId="2997"/>
    <cellStyle name="Normal 29 13" xfId="2998"/>
    <cellStyle name="Normal 29 14" xfId="2999"/>
    <cellStyle name="Normal 29 15" xfId="3000"/>
    <cellStyle name="Normal 29 16" xfId="3001"/>
    <cellStyle name="Normal 29 17" xfId="3002"/>
    <cellStyle name="Normal 29 18" xfId="3003"/>
    <cellStyle name="Normal 29 19" xfId="3004"/>
    <cellStyle name="Normal 29 2" xfId="3005"/>
    <cellStyle name="Normal 29 20" xfId="3006"/>
    <cellStyle name="Normal 29 21" xfId="3007"/>
    <cellStyle name="Normal 29 22" xfId="3008"/>
    <cellStyle name="Normal 29 23" xfId="3009"/>
    <cellStyle name="Normal 29 24" xfId="3010"/>
    <cellStyle name="Normal 29 25" xfId="3011"/>
    <cellStyle name="Normal 29 26" xfId="3012"/>
    <cellStyle name="Normal 29 27" xfId="3013"/>
    <cellStyle name="Normal 29 28" xfId="3014"/>
    <cellStyle name="Normal 29 29" xfId="3015"/>
    <cellStyle name="Normal 29 3" xfId="3016"/>
    <cellStyle name="Normal 29 30" xfId="3017"/>
    <cellStyle name="Normal 29 31" xfId="3018"/>
    <cellStyle name="Normal 29 32" xfId="3019"/>
    <cellStyle name="Normal 29 33" xfId="3020"/>
    <cellStyle name="Normal 29 34" xfId="3021"/>
    <cellStyle name="Normal 29 35" xfId="3022"/>
    <cellStyle name="Normal 29 36" xfId="3023"/>
    <cellStyle name="Normal 29 37" xfId="3024"/>
    <cellStyle name="Normal 29 38" xfId="3025"/>
    <cellStyle name="Normal 29 39" xfId="3026"/>
    <cellStyle name="Normal 29 4" xfId="3027"/>
    <cellStyle name="Normal 29 40" xfId="3028"/>
    <cellStyle name="Normal 29 41" xfId="3029"/>
    <cellStyle name="Normal 29 42" xfId="3030"/>
    <cellStyle name="Normal 29 43" xfId="3031"/>
    <cellStyle name="Normal 29 44" xfId="3032"/>
    <cellStyle name="Normal 29 45" xfId="3033"/>
    <cellStyle name="Normal 29 46" xfId="3034"/>
    <cellStyle name="Normal 29 47" xfId="3035"/>
    <cellStyle name="Normal 29 48" xfId="3036"/>
    <cellStyle name="Normal 29 49" xfId="3037"/>
    <cellStyle name="Normal 29 5" xfId="3038"/>
    <cellStyle name="Normal 29 50" xfId="3039"/>
    <cellStyle name="Normal 29 51" xfId="3040"/>
    <cellStyle name="Normal 29 52" xfId="3041"/>
    <cellStyle name="Normal 29 53" xfId="3042"/>
    <cellStyle name="Normal 29 54" xfId="3043"/>
    <cellStyle name="Normal 29 55" xfId="3044"/>
    <cellStyle name="Normal 29 56" xfId="3045"/>
    <cellStyle name="Normal 29 57" xfId="3046"/>
    <cellStyle name="Normal 29 58" xfId="3047"/>
    <cellStyle name="Normal 29 59" xfId="3048"/>
    <cellStyle name="Normal 29 6" xfId="3049"/>
    <cellStyle name="Normal 29 60" xfId="3050"/>
    <cellStyle name="Normal 29 61" xfId="3051"/>
    <cellStyle name="Normal 29 62" xfId="3052"/>
    <cellStyle name="Normal 29 63" xfId="3053"/>
    <cellStyle name="Normal 29 64" xfId="3054"/>
    <cellStyle name="Normal 29 65" xfId="3055"/>
    <cellStyle name="Normal 29 66" xfId="3056"/>
    <cellStyle name="Normal 29 67" xfId="3057"/>
    <cellStyle name="Normal 29 68" xfId="3058"/>
    <cellStyle name="Normal 29 69" xfId="3059"/>
    <cellStyle name="Normal 29 7" xfId="3060"/>
    <cellStyle name="Normal 29 70" xfId="3061"/>
    <cellStyle name="Normal 29 71" xfId="3062"/>
    <cellStyle name="Normal 29 72" xfId="3063"/>
    <cellStyle name="Normal 29 73" xfId="3064"/>
    <cellStyle name="Normal 29 74" xfId="3065"/>
    <cellStyle name="Normal 29 75" xfId="3066"/>
    <cellStyle name="Normal 29 76" xfId="3067"/>
    <cellStyle name="Normal 29 77" xfId="3068"/>
    <cellStyle name="Normal 29 78" xfId="3069"/>
    <cellStyle name="Normal 29 79" xfId="3070"/>
    <cellStyle name="Normal 29 8" xfId="3071"/>
    <cellStyle name="Normal 29 80" xfId="3072"/>
    <cellStyle name="Normal 29 81" xfId="3073"/>
    <cellStyle name="Normal 29 82" xfId="3074"/>
    <cellStyle name="Normal 29 83" xfId="3075"/>
    <cellStyle name="Normal 29 84" xfId="3076"/>
    <cellStyle name="Normal 29 85" xfId="3077"/>
    <cellStyle name="Normal 29 86" xfId="3078"/>
    <cellStyle name="Normal 29 87" xfId="3079"/>
    <cellStyle name="Normal 29 88" xfId="3080"/>
    <cellStyle name="Normal 29 89" xfId="3081"/>
    <cellStyle name="Normal 29 9" xfId="3082"/>
    <cellStyle name="Normal 29 90" xfId="3083"/>
    <cellStyle name="Normal 29 91" xfId="3084"/>
    <cellStyle name="Normal 29 92" xfId="3085"/>
    <cellStyle name="Normal 29 93" xfId="3086"/>
    <cellStyle name="Normal 29 94" xfId="3087"/>
    <cellStyle name="Normal 29 95" xfId="3088"/>
    <cellStyle name="Normal 29 96" xfId="3089"/>
    <cellStyle name="Normal 29 97" xfId="3090"/>
    <cellStyle name="Normal 29 98" xfId="3091"/>
    <cellStyle name="Normal 29 99" xfId="3092"/>
    <cellStyle name="Normal 3 10" xfId="3093"/>
    <cellStyle name="Normal 3 11" xfId="3094"/>
    <cellStyle name="Normal 3 12" xfId="3095"/>
    <cellStyle name="Normal 3 13" xfId="3096"/>
    <cellStyle name="Normal 3 14" xfId="3097"/>
    <cellStyle name="Normal 3 15" xfId="3098"/>
    <cellStyle name="Normal 3 16" xfId="3099"/>
    <cellStyle name="Normal 3 17" xfId="3100"/>
    <cellStyle name="Normal 3 18" xfId="3101"/>
    <cellStyle name="Normal 3 19" xfId="3102"/>
    <cellStyle name="Normal 3 2 2" xfId="3103"/>
    <cellStyle name="Normal 3 2 2 2" xfId="3104"/>
    <cellStyle name="Normal 3 2 3" xfId="3105"/>
    <cellStyle name="Normal 3 2 4" xfId="3106"/>
    <cellStyle name="Normal 3 20" xfId="3107"/>
    <cellStyle name="Normal 3 21" xfId="3108"/>
    <cellStyle name="Normal 3 22" xfId="3109"/>
    <cellStyle name="Normal 3 22 2" xfId="3110"/>
    <cellStyle name="Normal 3 22 2 2" xfId="3111"/>
    <cellStyle name="Normal 3 22 2 2 2" xfId="3112"/>
    <cellStyle name="Normal 3 22 2 3" xfId="3113"/>
    <cellStyle name="Normal 3 22 3" xfId="3114"/>
    <cellStyle name="Normal 3 22 3 2" xfId="3115"/>
    <cellStyle name="Normal 3 22 4" xfId="3116"/>
    <cellStyle name="Normal 3 23" xfId="3117"/>
    <cellStyle name="Normal 3 24" xfId="3118"/>
    <cellStyle name="Normal 3 24 2" xfId="3119"/>
    <cellStyle name="Normal 3 24 2 2" xfId="3120"/>
    <cellStyle name="Normal 3 24 3" xfId="3121"/>
    <cellStyle name="Normal 3 25" xfId="3122"/>
    <cellStyle name="Normal 3 26" xfId="3123"/>
    <cellStyle name="Normal 3 27" xfId="3124"/>
    <cellStyle name="Normal 3 28" xfId="3125"/>
    <cellStyle name="Normal 3 29" xfId="3126"/>
    <cellStyle name="Normal 3 3" xfId="3127"/>
    <cellStyle name="Normal 3 3 2" xfId="3128"/>
    <cellStyle name="Normal 3 3 3" xfId="3129"/>
    <cellStyle name="Normal 3 3 4" xfId="3130"/>
    <cellStyle name="Normal 3 30" xfId="3131"/>
    <cellStyle name="Normal 3 31" xfId="3132"/>
    <cellStyle name="Normal 3 32" xfId="3133"/>
    <cellStyle name="Normal 3 33" xfId="3134"/>
    <cellStyle name="Normal 3 34" xfId="3135"/>
    <cellStyle name="Normal 3 35" xfId="3136"/>
    <cellStyle name="Normal 3 36" xfId="3137"/>
    <cellStyle name="Normal 3 37" xfId="3138"/>
    <cellStyle name="Normal 3 38" xfId="3139"/>
    <cellStyle name="Normal 3 39" xfId="3140"/>
    <cellStyle name="Normal 3 39 2" xfId="3141"/>
    <cellStyle name="Normal 3 4" xfId="3142"/>
    <cellStyle name="Normal 3 4 2" xfId="3143"/>
    <cellStyle name="Normal 3 4 3" xfId="3144"/>
    <cellStyle name="Normal 3 40" xfId="3145"/>
    <cellStyle name="Normal 3 41" xfId="3146"/>
    <cellStyle name="Normal 3 42" xfId="3147"/>
    <cellStyle name="Normal 3 43" xfId="3148"/>
    <cellStyle name="Normal 3 44" xfId="3149"/>
    <cellStyle name="Normal 3 45" xfId="3150"/>
    <cellStyle name="Normal 3 46" xfId="3151"/>
    <cellStyle name="Normal 3 47" xfId="3152"/>
    <cellStyle name="Normal 3 48" xfId="3153"/>
    <cellStyle name="Normal 3 49" xfId="3154"/>
    <cellStyle name="Normal 3 5" xfId="3155"/>
    <cellStyle name="Normal 3 5 2" xfId="3156"/>
    <cellStyle name="Normal 3 50" xfId="3157"/>
    <cellStyle name="Normal 3 51" xfId="3158"/>
    <cellStyle name="Normal 3 52" xfId="3159"/>
    <cellStyle name="Normal 3 53" xfId="3160"/>
    <cellStyle name="Normal 3 6" xfId="3161"/>
    <cellStyle name="Normal 3 7" xfId="3162"/>
    <cellStyle name="Normal 3 8" xfId="3163"/>
    <cellStyle name="Normal 3 9" xfId="3164"/>
    <cellStyle name="Normal 30" xfId="3165"/>
    <cellStyle name="Normal 30 10" xfId="3166"/>
    <cellStyle name="Normal 30 100" xfId="3167"/>
    <cellStyle name="Normal 30 101" xfId="3168"/>
    <cellStyle name="Normal 30 102" xfId="3169"/>
    <cellStyle name="Normal 30 103" xfId="3170"/>
    <cellStyle name="Normal 30 104" xfId="3171"/>
    <cellStyle name="Normal 30 105" xfId="3172"/>
    <cellStyle name="Normal 30 106" xfId="3173"/>
    <cellStyle name="Normal 30 107" xfId="3174"/>
    <cellStyle name="Normal 30 108" xfId="3175"/>
    <cellStyle name="Normal 30 109" xfId="3176"/>
    <cellStyle name="Normal 30 11" xfId="3177"/>
    <cellStyle name="Normal 30 12" xfId="3178"/>
    <cellStyle name="Normal 30 13" xfId="3179"/>
    <cellStyle name="Normal 30 14" xfId="3180"/>
    <cellStyle name="Normal 30 15" xfId="3181"/>
    <cellStyle name="Normal 30 16" xfId="3182"/>
    <cellStyle name="Normal 30 17" xfId="3183"/>
    <cellStyle name="Normal 30 18" xfId="3184"/>
    <cellStyle name="Normal 30 19" xfId="3185"/>
    <cellStyle name="Normal 30 2" xfId="3186"/>
    <cellStyle name="Normal 30 20" xfId="3187"/>
    <cellStyle name="Normal 30 21" xfId="3188"/>
    <cellStyle name="Normal 30 22" xfId="3189"/>
    <cellStyle name="Normal 30 23" xfId="3190"/>
    <cellStyle name="Normal 30 24" xfId="3191"/>
    <cellStyle name="Normal 30 25" xfId="3192"/>
    <cellStyle name="Normal 30 26" xfId="3193"/>
    <cellStyle name="Normal 30 27" xfId="3194"/>
    <cellStyle name="Normal 30 28" xfId="3195"/>
    <cellStyle name="Normal 30 29" xfId="3196"/>
    <cellStyle name="Normal 30 3" xfId="3197"/>
    <cellStyle name="Normal 30 30" xfId="3198"/>
    <cellStyle name="Normal 30 31" xfId="3199"/>
    <cellStyle name="Normal 30 32" xfId="3200"/>
    <cellStyle name="Normal 30 33" xfId="3201"/>
    <cellStyle name="Normal 30 34" xfId="3202"/>
    <cellStyle name="Normal 30 35" xfId="3203"/>
    <cellStyle name="Normal 30 36" xfId="3204"/>
    <cellStyle name="Normal 30 37" xfId="3205"/>
    <cellStyle name="Normal 30 38" xfId="3206"/>
    <cellStyle name="Normal 30 39" xfId="3207"/>
    <cellStyle name="Normal 30 4" xfId="3208"/>
    <cellStyle name="Normal 30 40" xfId="3209"/>
    <cellStyle name="Normal 30 41" xfId="3210"/>
    <cellStyle name="Normal 30 42" xfId="3211"/>
    <cellStyle name="Normal 30 43" xfId="3212"/>
    <cellStyle name="Normal 30 44" xfId="3213"/>
    <cellStyle name="Normal 30 45" xfId="3214"/>
    <cellStyle name="Normal 30 46" xfId="3215"/>
    <cellStyle name="Normal 30 47" xfId="3216"/>
    <cellStyle name="Normal 30 48" xfId="3217"/>
    <cellStyle name="Normal 30 49" xfId="3218"/>
    <cellStyle name="Normal 30 5" xfId="3219"/>
    <cellStyle name="Normal 30 50" xfId="3220"/>
    <cellStyle name="Normal 30 51" xfId="3221"/>
    <cellStyle name="Normal 30 52" xfId="3222"/>
    <cellStyle name="Normal 30 53" xfId="3223"/>
    <cellStyle name="Normal 30 54" xfId="3224"/>
    <cellStyle name="Normal 30 55" xfId="3225"/>
    <cellStyle name="Normal 30 56" xfId="3226"/>
    <cellStyle name="Normal 30 57" xfId="3227"/>
    <cellStyle name="Normal 30 58" xfId="3228"/>
    <cellStyle name="Normal 30 59" xfId="3229"/>
    <cellStyle name="Normal 30 6" xfId="3230"/>
    <cellStyle name="Normal 30 60" xfId="3231"/>
    <cellStyle name="Normal 30 61" xfId="3232"/>
    <cellStyle name="Normal 30 62" xfId="3233"/>
    <cellStyle name="Normal 30 63" xfId="3234"/>
    <cellStyle name="Normal 30 64" xfId="3235"/>
    <cellStyle name="Normal 30 65" xfId="3236"/>
    <cellStyle name="Normal 30 66" xfId="3237"/>
    <cellStyle name="Normal 30 67" xfId="3238"/>
    <cellStyle name="Normal 30 68" xfId="3239"/>
    <cellStyle name="Normal 30 69" xfId="3240"/>
    <cellStyle name="Normal 30 7" xfId="3241"/>
    <cellStyle name="Normal 30 70" xfId="3242"/>
    <cellStyle name="Normal 30 71" xfId="3243"/>
    <cellStyle name="Normal 30 72" xfId="3244"/>
    <cellStyle name="Normal 30 73" xfId="3245"/>
    <cellStyle name="Normal 30 74" xfId="3246"/>
    <cellStyle name="Normal 30 75" xfId="3247"/>
    <cellStyle name="Normal 30 76" xfId="3248"/>
    <cellStyle name="Normal 30 77" xfId="3249"/>
    <cellStyle name="Normal 30 78" xfId="3250"/>
    <cellStyle name="Normal 30 79" xfId="3251"/>
    <cellStyle name="Normal 30 8" xfId="3252"/>
    <cellStyle name="Normal 30 80" xfId="3253"/>
    <cellStyle name="Normal 30 81" xfId="3254"/>
    <cellStyle name="Normal 30 82" xfId="3255"/>
    <cellStyle name="Normal 30 83" xfId="3256"/>
    <cellStyle name="Normal 30 84" xfId="3257"/>
    <cellStyle name="Normal 30 85" xfId="3258"/>
    <cellStyle name="Normal 30 86" xfId="3259"/>
    <cellStyle name="Normal 30 87" xfId="3260"/>
    <cellStyle name="Normal 30 88" xfId="3261"/>
    <cellStyle name="Normal 30 89" xfId="3262"/>
    <cellStyle name="Normal 30 9" xfId="3263"/>
    <cellStyle name="Normal 30 90" xfId="3264"/>
    <cellStyle name="Normal 30 91" xfId="3265"/>
    <cellStyle name="Normal 30 92" xfId="3266"/>
    <cellStyle name="Normal 30 93" xfId="3267"/>
    <cellStyle name="Normal 30 94" xfId="3268"/>
    <cellStyle name="Normal 30 95" xfId="3269"/>
    <cellStyle name="Normal 30 96" xfId="3270"/>
    <cellStyle name="Normal 30 97" xfId="3271"/>
    <cellStyle name="Normal 30 98" xfId="3272"/>
    <cellStyle name="Normal 30 99" xfId="3273"/>
    <cellStyle name="Normal 31" xfId="3274"/>
    <cellStyle name="Normal 31 10" xfId="3275"/>
    <cellStyle name="Normal 31 100" xfId="3276"/>
    <cellStyle name="Normal 31 101" xfId="3277"/>
    <cellStyle name="Normal 31 102" xfId="3278"/>
    <cellStyle name="Normal 31 103" xfId="3279"/>
    <cellStyle name="Normal 31 104" xfId="3280"/>
    <cellStyle name="Normal 31 105" xfId="3281"/>
    <cellStyle name="Normal 31 106" xfId="3282"/>
    <cellStyle name="Normal 31 107" xfId="3283"/>
    <cellStyle name="Normal 31 108" xfId="3284"/>
    <cellStyle name="Normal 31 109" xfId="3285"/>
    <cellStyle name="Normal 31 11" xfId="3286"/>
    <cellStyle name="Normal 31 12" xfId="3287"/>
    <cellStyle name="Normal 31 13" xfId="3288"/>
    <cellStyle name="Normal 31 14" xfId="3289"/>
    <cellStyle name="Normal 31 15" xfId="3290"/>
    <cellStyle name="Normal 31 16" xfId="3291"/>
    <cellStyle name="Normal 31 17" xfId="3292"/>
    <cellStyle name="Normal 31 18" xfId="3293"/>
    <cellStyle name="Normal 31 19" xfId="3294"/>
    <cellStyle name="Normal 31 2" xfId="3295"/>
    <cellStyle name="Normal 31 20" xfId="3296"/>
    <cellStyle name="Normal 31 21" xfId="3297"/>
    <cellStyle name="Normal 31 22" xfId="3298"/>
    <cellStyle name="Normal 31 23" xfId="3299"/>
    <cellStyle name="Normal 31 24" xfId="3300"/>
    <cellStyle name="Normal 31 25" xfId="3301"/>
    <cellStyle name="Normal 31 26" xfId="3302"/>
    <cellStyle name="Normal 31 27" xfId="3303"/>
    <cellStyle name="Normal 31 28" xfId="3304"/>
    <cellStyle name="Normal 31 29" xfId="3305"/>
    <cellStyle name="Normal 31 3" xfId="3306"/>
    <cellStyle name="Normal 31 30" xfId="3307"/>
    <cellStyle name="Normal 31 31" xfId="3308"/>
    <cellStyle name="Normal 31 32" xfId="3309"/>
    <cellStyle name="Normal 31 33" xfId="3310"/>
    <cellStyle name="Normal 31 34" xfId="3311"/>
    <cellStyle name="Normal 31 35" xfId="3312"/>
    <cellStyle name="Normal 31 36" xfId="3313"/>
    <cellStyle name="Normal 31 37" xfId="3314"/>
    <cellStyle name="Normal 31 38" xfId="3315"/>
    <cellStyle name="Normal 31 39" xfId="3316"/>
    <cellStyle name="Normal 31 4" xfId="3317"/>
    <cellStyle name="Normal 31 40" xfId="3318"/>
    <cellStyle name="Normal 31 41" xfId="3319"/>
    <cellStyle name="Normal 31 42" xfId="3320"/>
    <cellStyle name="Normal 31 43" xfId="3321"/>
    <cellStyle name="Normal 31 44" xfId="3322"/>
    <cellStyle name="Normal 31 45" xfId="3323"/>
    <cellStyle name="Normal 31 46" xfId="3324"/>
    <cellStyle name="Normal 31 47" xfId="3325"/>
    <cellStyle name="Normal 31 48" xfId="3326"/>
    <cellStyle name="Normal 31 49" xfId="3327"/>
    <cellStyle name="Normal 31 5" xfId="3328"/>
    <cellStyle name="Normal 31 50" xfId="3329"/>
    <cellStyle name="Normal 31 51" xfId="3330"/>
    <cellStyle name="Normal 31 52" xfId="3331"/>
    <cellStyle name="Normal 31 53" xfId="3332"/>
    <cellStyle name="Normal 31 54" xfId="3333"/>
    <cellStyle name="Normal 31 55" xfId="3334"/>
    <cellStyle name="Normal 31 56" xfId="3335"/>
    <cellStyle name="Normal 31 57" xfId="3336"/>
    <cellStyle name="Normal 31 58" xfId="3337"/>
    <cellStyle name="Normal 31 59" xfId="3338"/>
    <cellStyle name="Normal 31 6" xfId="3339"/>
    <cellStyle name="Normal 31 60" xfId="3340"/>
    <cellStyle name="Normal 31 61" xfId="3341"/>
    <cellStyle name="Normal 31 62" xfId="3342"/>
    <cellStyle name="Normal 31 63" xfId="3343"/>
    <cellStyle name="Normal 31 64" xfId="3344"/>
    <cellStyle name="Normal 31 65" xfId="3345"/>
    <cellStyle name="Normal 31 66" xfId="3346"/>
    <cellStyle name="Normal 31 67" xfId="3347"/>
    <cellStyle name="Normal 31 68" xfId="3348"/>
    <cellStyle name="Normal 31 69" xfId="3349"/>
    <cellStyle name="Normal 31 7" xfId="3350"/>
    <cellStyle name="Normal 31 70" xfId="3351"/>
    <cellStyle name="Normal 31 71" xfId="3352"/>
    <cellStyle name="Normal 31 72" xfId="3353"/>
    <cellStyle name="Normal 31 73" xfId="3354"/>
    <cellStyle name="Normal 31 74" xfId="3355"/>
    <cellStyle name="Normal 31 75" xfId="3356"/>
    <cellStyle name="Normal 31 76" xfId="3357"/>
    <cellStyle name="Normal 31 77" xfId="3358"/>
    <cellStyle name="Normal 31 78" xfId="3359"/>
    <cellStyle name="Normal 31 79" xfId="3360"/>
    <cellStyle name="Normal 31 8" xfId="3361"/>
    <cellStyle name="Normal 31 80" xfId="3362"/>
    <cellStyle name="Normal 31 81" xfId="3363"/>
    <cellStyle name="Normal 31 82" xfId="3364"/>
    <cellStyle name="Normal 31 83" xfId="3365"/>
    <cellStyle name="Normal 31 84" xfId="3366"/>
    <cellStyle name="Normal 31 85" xfId="3367"/>
    <cellStyle name="Normal 31 86" xfId="3368"/>
    <cellStyle name="Normal 31 87" xfId="3369"/>
    <cellStyle name="Normal 31 88" xfId="3370"/>
    <cellStyle name="Normal 31 89" xfId="3371"/>
    <cellStyle name="Normal 31 9" xfId="3372"/>
    <cellStyle name="Normal 31 90" xfId="3373"/>
    <cellStyle name="Normal 31 91" xfId="3374"/>
    <cellStyle name="Normal 31 92" xfId="3375"/>
    <cellStyle name="Normal 31 93" xfId="3376"/>
    <cellStyle name="Normal 31 94" xfId="3377"/>
    <cellStyle name="Normal 31 95" xfId="3378"/>
    <cellStyle name="Normal 31 96" xfId="3379"/>
    <cellStyle name="Normal 31 97" xfId="3380"/>
    <cellStyle name="Normal 31 98" xfId="3381"/>
    <cellStyle name="Normal 31 99" xfId="3382"/>
    <cellStyle name="Normal 32" xfId="3383"/>
    <cellStyle name="Normal 32 2" xfId="3384"/>
    <cellStyle name="Normal 33" xfId="3385"/>
    <cellStyle name="Normal 33 2" xfId="3386"/>
    <cellStyle name="Normal 34" xfId="3387"/>
    <cellStyle name="Normal 35" xfId="3388"/>
    <cellStyle name="Normal 35 10" xfId="3389"/>
    <cellStyle name="Normal 35 100" xfId="3390"/>
    <cellStyle name="Normal 35 101" xfId="3391"/>
    <cellStyle name="Normal 35 102" xfId="3392"/>
    <cellStyle name="Normal 35 103" xfId="3393"/>
    <cellStyle name="Normal 35 104" xfId="3394"/>
    <cellStyle name="Normal 35 105" xfId="3395"/>
    <cellStyle name="Normal 35 106" xfId="3396"/>
    <cellStyle name="Normal 35 107" xfId="3397"/>
    <cellStyle name="Normal 35 108" xfId="3398"/>
    <cellStyle name="Normal 35 109" xfId="3399"/>
    <cellStyle name="Normal 35 11" xfId="3400"/>
    <cellStyle name="Normal 35 12" xfId="3401"/>
    <cellStyle name="Normal 35 13" xfId="3402"/>
    <cellStyle name="Normal 35 14" xfId="3403"/>
    <cellStyle name="Normal 35 15" xfId="3404"/>
    <cellStyle name="Normal 35 16" xfId="3405"/>
    <cellStyle name="Normal 35 17" xfId="3406"/>
    <cellStyle name="Normal 35 18" xfId="3407"/>
    <cellStyle name="Normal 35 19" xfId="3408"/>
    <cellStyle name="Normal 35 2" xfId="3409"/>
    <cellStyle name="Normal 35 20" xfId="3410"/>
    <cellStyle name="Normal 35 21" xfId="3411"/>
    <cellStyle name="Normal 35 22" xfId="3412"/>
    <cellStyle name="Normal 35 23" xfId="3413"/>
    <cellStyle name="Normal 35 24" xfId="3414"/>
    <cellStyle name="Normal 35 25" xfId="3415"/>
    <cellStyle name="Normal 35 26" xfId="3416"/>
    <cellStyle name="Normal 35 27" xfId="3417"/>
    <cellStyle name="Normal 35 28" xfId="3418"/>
    <cellStyle name="Normal 35 29" xfId="3419"/>
    <cellStyle name="Normal 35 3" xfId="3420"/>
    <cellStyle name="Normal 35 30" xfId="3421"/>
    <cellStyle name="Normal 35 31" xfId="3422"/>
    <cellStyle name="Normal 35 32" xfId="3423"/>
    <cellStyle name="Normal 35 33" xfId="3424"/>
    <cellStyle name="Normal 35 34" xfId="3425"/>
    <cellStyle name="Normal 35 35" xfId="3426"/>
    <cellStyle name="Normal 35 36" xfId="3427"/>
    <cellStyle name="Normal 35 37" xfId="3428"/>
    <cellStyle name="Normal 35 38" xfId="3429"/>
    <cellStyle name="Normal 35 39" xfId="3430"/>
    <cellStyle name="Normal 35 4" xfId="3431"/>
    <cellStyle name="Normal 35 40" xfId="3432"/>
    <cellStyle name="Normal 35 41" xfId="3433"/>
    <cellStyle name="Normal 35 42" xfId="3434"/>
    <cellStyle name="Normal 35 43" xfId="3435"/>
    <cellStyle name="Normal 35 44" xfId="3436"/>
    <cellStyle name="Normal 35 45" xfId="3437"/>
    <cellStyle name="Normal 35 46" xfId="3438"/>
    <cellStyle name="Normal 35 47" xfId="3439"/>
    <cellStyle name="Normal 35 48" xfId="3440"/>
    <cellStyle name="Normal 35 49" xfId="3441"/>
    <cellStyle name="Normal 35 5" xfId="3442"/>
    <cellStyle name="Normal 35 50" xfId="3443"/>
    <cellStyle name="Normal 35 51" xfId="3444"/>
    <cellStyle name="Normal 35 52" xfId="3445"/>
    <cellStyle name="Normal 35 53" xfId="3446"/>
    <cellStyle name="Normal 35 54" xfId="3447"/>
    <cellStyle name="Normal 35 55" xfId="3448"/>
    <cellStyle name="Normal 35 56" xfId="3449"/>
    <cellStyle name="Normal 35 57" xfId="3450"/>
    <cellStyle name="Normal 35 58" xfId="3451"/>
    <cellStyle name="Normal 35 59" xfId="3452"/>
    <cellStyle name="Normal 35 6" xfId="3453"/>
    <cellStyle name="Normal 35 60" xfId="3454"/>
    <cellStyle name="Normal 35 61" xfId="3455"/>
    <cellStyle name="Normal 35 62" xfId="3456"/>
    <cellStyle name="Normal 35 63" xfId="3457"/>
    <cellStyle name="Normal 35 64" xfId="3458"/>
    <cellStyle name="Normal 35 65" xfId="3459"/>
    <cellStyle name="Normal 35 66" xfId="3460"/>
    <cellStyle name="Normal 35 67" xfId="3461"/>
    <cellStyle name="Normal 35 68" xfId="3462"/>
    <cellStyle name="Normal 35 69" xfId="3463"/>
    <cellStyle name="Normal 35 7" xfId="3464"/>
    <cellStyle name="Normal 35 70" xfId="3465"/>
    <cellStyle name="Normal 35 71" xfId="3466"/>
    <cellStyle name="Normal 35 72" xfId="3467"/>
    <cellStyle name="Normal 35 73" xfId="3468"/>
    <cellStyle name="Normal 35 74" xfId="3469"/>
    <cellStyle name="Normal 35 75" xfId="3470"/>
    <cellStyle name="Normal 35 76" xfId="3471"/>
    <cellStyle name="Normal 35 77" xfId="3472"/>
    <cellStyle name="Normal 35 78" xfId="3473"/>
    <cellStyle name="Normal 35 79" xfId="3474"/>
    <cellStyle name="Normal 35 8" xfId="3475"/>
    <cellStyle name="Normal 35 80" xfId="3476"/>
    <cellStyle name="Normal 35 81" xfId="3477"/>
    <cellStyle name="Normal 35 82" xfId="3478"/>
    <cellStyle name="Normal 35 83" xfId="3479"/>
    <cellStyle name="Normal 35 84" xfId="3480"/>
    <cellStyle name="Normal 35 85" xfId="3481"/>
    <cellStyle name="Normal 35 86" xfId="3482"/>
    <cellStyle name="Normal 35 87" xfId="3483"/>
    <cellStyle name="Normal 35 88" xfId="3484"/>
    <cellStyle name="Normal 35 89" xfId="3485"/>
    <cellStyle name="Normal 35 9" xfId="3486"/>
    <cellStyle name="Normal 35 90" xfId="3487"/>
    <cellStyle name="Normal 35 91" xfId="3488"/>
    <cellStyle name="Normal 35 92" xfId="3489"/>
    <cellStyle name="Normal 35 93" xfId="3490"/>
    <cellStyle name="Normal 35 94" xfId="3491"/>
    <cellStyle name="Normal 35 95" xfId="3492"/>
    <cellStyle name="Normal 35 96" xfId="3493"/>
    <cellStyle name="Normal 35 97" xfId="3494"/>
    <cellStyle name="Normal 35 98" xfId="3495"/>
    <cellStyle name="Normal 35 99" xfId="3496"/>
    <cellStyle name="Normal 36" xfId="3497"/>
    <cellStyle name="Normal 36 10" xfId="3498"/>
    <cellStyle name="Normal 36 100" xfId="3499"/>
    <cellStyle name="Normal 36 101" xfId="3500"/>
    <cellStyle name="Normal 36 102" xfId="3501"/>
    <cellStyle name="Normal 36 103" xfId="3502"/>
    <cellStyle name="Normal 36 104" xfId="3503"/>
    <cellStyle name="Normal 36 105" xfId="3504"/>
    <cellStyle name="Normal 36 106" xfId="3505"/>
    <cellStyle name="Normal 36 107" xfId="3506"/>
    <cellStyle name="Normal 36 108" xfId="3507"/>
    <cellStyle name="Normal 36 109" xfId="3508"/>
    <cellStyle name="Normal 36 11" xfId="3509"/>
    <cellStyle name="Normal 36 12" xfId="3510"/>
    <cellStyle name="Normal 36 13" xfId="3511"/>
    <cellStyle name="Normal 36 14" xfId="3512"/>
    <cellStyle name="Normal 36 15" xfId="3513"/>
    <cellStyle name="Normal 36 16" xfId="3514"/>
    <cellStyle name="Normal 36 17" xfId="3515"/>
    <cellStyle name="Normal 36 18" xfId="3516"/>
    <cellStyle name="Normal 36 19" xfId="3517"/>
    <cellStyle name="Normal 36 2" xfId="3518"/>
    <cellStyle name="Normal 36 20" xfId="3519"/>
    <cellStyle name="Normal 36 21" xfId="3520"/>
    <cellStyle name="Normal 36 22" xfId="3521"/>
    <cellStyle name="Normal 36 23" xfId="3522"/>
    <cellStyle name="Normal 36 24" xfId="3523"/>
    <cellStyle name="Normal 36 25" xfId="3524"/>
    <cellStyle name="Normal 36 26" xfId="3525"/>
    <cellStyle name="Normal 36 27" xfId="3526"/>
    <cellStyle name="Normal 36 28" xfId="3527"/>
    <cellStyle name="Normal 36 29" xfId="3528"/>
    <cellStyle name="Normal 36 3" xfId="3529"/>
    <cellStyle name="Normal 36 30" xfId="3530"/>
    <cellStyle name="Normal 36 31" xfId="3531"/>
    <cellStyle name="Normal 36 32" xfId="3532"/>
    <cellStyle name="Normal 36 33" xfId="3533"/>
    <cellStyle name="Normal 36 34" xfId="3534"/>
    <cellStyle name="Normal 36 35" xfId="3535"/>
    <cellStyle name="Normal 36 36" xfId="3536"/>
    <cellStyle name="Normal 36 37" xfId="3537"/>
    <cellStyle name="Normal 36 38" xfId="3538"/>
    <cellStyle name="Normal 36 39" xfId="3539"/>
    <cellStyle name="Normal 36 4" xfId="3540"/>
    <cellStyle name="Normal 36 40" xfId="3541"/>
    <cellStyle name="Normal 36 41" xfId="3542"/>
    <cellStyle name="Normal 36 42" xfId="3543"/>
    <cellStyle name="Normal 36 43" xfId="3544"/>
    <cellStyle name="Normal 36 44" xfId="3545"/>
    <cellStyle name="Normal 36 45" xfId="3546"/>
    <cellStyle name="Normal 36 46" xfId="3547"/>
    <cellStyle name="Normal 36 47" xfId="3548"/>
    <cellStyle name="Normal 36 48" xfId="3549"/>
    <cellStyle name="Normal 36 49" xfId="3550"/>
    <cellStyle name="Normal 36 5" xfId="3551"/>
    <cellStyle name="Normal 36 50" xfId="3552"/>
    <cellStyle name="Normal 36 51" xfId="3553"/>
    <cellStyle name="Normal 36 52" xfId="3554"/>
    <cellStyle name="Normal 36 53" xfId="3555"/>
    <cellStyle name="Normal 36 54" xfId="3556"/>
    <cellStyle name="Normal 36 55" xfId="3557"/>
    <cellStyle name="Normal 36 56" xfId="3558"/>
    <cellStyle name="Normal 36 57" xfId="3559"/>
    <cellStyle name="Normal 36 58" xfId="3560"/>
    <cellStyle name="Normal 36 59" xfId="3561"/>
    <cellStyle name="Normal 36 6" xfId="3562"/>
    <cellStyle name="Normal 36 60" xfId="3563"/>
    <cellStyle name="Normal 36 61" xfId="3564"/>
    <cellStyle name="Normal 36 62" xfId="3565"/>
    <cellStyle name="Normal 36 63" xfId="3566"/>
    <cellStyle name="Normal 36 64" xfId="3567"/>
    <cellStyle name="Normal 36 65" xfId="3568"/>
    <cellStyle name="Normal 36 66" xfId="3569"/>
    <cellStyle name="Normal 36 67" xfId="3570"/>
    <cellStyle name="Normal 36 68" xfId="3571"/>
    <cellStyle name="Normal 36 69" xfId="3572"/>
    <cellStyle name="Normal 36 7" xfId="3573"/>
    <cellStyle name="Normal 36 70" xfId="3574"/>
    <cellStyle name="Normal 36 71" xfId="3575"/>
    <cellStyle name="Normal 36 72" xfId="3576"/>
    <cellStyle name="Normal 36 73" xfId="3577"/>
    <cellStyle name="Normal 36 74" xfId="3578"/>
    <cellStyle name="Normal 36 75" xfId="3579"/>
    <cellStyle name="Normal 36 76" xfId="3580"/>
    <cellStyle name="Normal 36 77" xfId="3581"/>
    <cellStyle name="Normal 36 78" xfId="3582"/>
    <cellStyle name="Normal 36 79" xfId="3583"/>
    <cellStyle name="Normal 36 8" xfId="3584"/>
    <cellStyle name="Normal 36 80" xfId="3585"/>
    <cellStyle name="Normal 36 81" xfId="3586"/>
    <cellStyle name="Normal 36 82" xfId="3587"/>
    <cellStyle name="Normal 36 83" xfId="3588"/>
    <cellStyle name="Normal 36 84" xfId="3589"/>
    <cellStyle name="Normal 36 85" xfId="3590"/>
    <cellStyle name="Normal 36 86" xfId="3591"/>
    <cellStyle name="Normal 36 87" xfId="3592"/>
    <cellStyle name="Normal 36 88" xfId="3593"/>
    <cellStyle name="Normal 36 89" xfId="3594"/>
    <cellStyle name="Normal 36 9" xfId="3595"/>
    <cellStyle name="Normal 36 90" xfId="3596"/>
    <cellStyle name="Normal 36 91" xfId="3597"/>
    <cellStyle name="Normal 36 92" xfId="3598"/>
    <cellStyle name="Normal 36 93" xfId="3599"/>
    <cellStyle name="Normal 36 94" xfId="3600"/>
    <cellStyle name="Normal 36 95" xfId="3601"/>
    <cellStyle name="Normal 36 96" xfId="3602"/>
    <cellStyle name="Normal 36 97" xfId="3603"/>
    <cellStyle name="Normal 36 98" xfId="3604"/>
    <cellStyle name="Normal 36 99" xfId="3605"/>
    <cellStyle name="Normal 37" xfId="3606"/>
    <cellStyle name="Normal 38" xfId="3607"/>
    <cellStyle name="Normal 39" xfId="3608"/>
    <cellStyle name="Normal 4 10" xfId="3609"/>
    <cellStyle name="Normal 4 10 2" xfId="3610"/>
    <cellStyle name="Normal 4 100" xfId="3611"/>
    <cellStyle name="Normal 4 101" xfId="3612"/>
    <cellStyle name="Normal 4 102" xfId="3613"/>
    <cellStyle name="Normal 4 103" xfId="3614"/>
    <cellStyle name="Normal 4 104" xfId="3615"/>
    <cellStyle name="Normal 4 105" xfId="3616"/>
    <cellStyle name="Normal 4 106" xfId="3617"/>
    <cellStyle name="Normal 4 107" xfId="3618"/>
    <cellStyle name="Normal 4 108" xfId="3619"/>
    <cellStyle name="Normal 4 109" xfId="3620"/>
    <cellStyle name="Normal 4 11" xfId="3621"/>
    <cellStyle name="Normal 4 11 2" xfId="3622"/>
    <cellStyle name="Normal 4 110" xfId="3623"/>
    <cellStyle name="Normal 4 111" xfId="3624"/>
    <cellStyle name="Normal 4 112" xfId="3625"/>
    <cellStyle name="Normal 4 113" xfId="3626"/>
    <cellStyle name="Normal 4 114" xfId="3627"/>
    <cellStyle name="Normal 4 115" xfId="3628"/>
    <cellStyle name="Normal 4 116" xfId="3629"/>
    <cellStyle name="Normal 4 117" xfId="3630"/>
    <cellStyle name="Normal 4 118" xfId="3631"/>
    <cellStyle name="Normal 4 119" xfId="3632"/>
    <cellStyle name="Normal 4 12" xfId="3633"/>
    <cellStyle name="Normal 4 12 2" xfId="3634"/>
    <cellStyle name="Normal 4 120" xfId="3635"/>
    <cellStyle name="Normal 4 13" xfId="3636"/>
    <cellStyle name="Normal 4 13 2" xfId="3637"/>
    <cellStyle name="Normal 4 14" xfId="3638"/>
    <cellStyle name="Normal 4 14 2" xfId="3639"/>
    <cellStyle name="Normal 4 15" xfId="3640"/>
    <cellStyle name="Normal 4 15 2" xfId="3641"/>
    <cellStyle name="Normal 4 16" xfId="3642"/>
    <cellStyle name="Normal 4 16 2" xfId="3643"/>
    <cellStyle name="Normal 4 17" xfId="3644"/>
    <cellStyle name="Normal 4 17 2" xfId="3645"/>
    <cellStyle name="Normal 4 18" xfId="3646"/>
    <cellStyle name="Normal 4 18 2" xfId="3647"/>
    <cellStyle name="Normal 4 19" xfId="3648"/>
    <cellStyle name="Normal 4 19 2" xfId="3649"/>
    <cellStyle name="Normal 4 2" xfId="3650"/>
    <cellStyle name="Normal 4 2 2" xfId="3651"/>
    <cellStyle name="Normal 4 2 3" xfId="3652"/>
    <cellStyle name="Normal 4 2 4" xfId="3653"/>
    <cellStyle name="Normal 4 2 5" xfId="3654"/>
    <cellStyle name="Normal 4 2 6" xfId="3655"/>
    <cellStyle name="Normal 4 2 7" xfId="3656"/>
    <cellStyle name="Normal 4 2 8" xfId="3657"/>
    <cellStyle name="Normal 4 2 9" xfId="3658"/>
    <cellStyle name="Normal 4 20" xfId="3659"/>
    <cellStyle name="Normal 4 20 2" xfId="3660"/>
    <cellStyle name="Normal 4 21" xfId="3661"/>
    <cellStyle name="Normal 4 21 2" xfId="3662"/>
    <cellStyle name="Normal 4 21 2 2" xfId="3663"/>
    <cellStyle name="Normal 4 21 2 2 2" xfId="3664"/>
    <cellStyle name="Normal 4 21 2 2 2 2" xfId="3665"/>
    <cellStyle name="Normal 4 21 2 2 3" xfId="3666"/>
    <cellStyle name="Normal 4 21 2 3" xfId="3667"/>
    <cellStyle name="Normal 4 21 2 3 2" xfId="3668"/>
    <cellStyle name="Normal 4 21 2 4" xfId="3669"/>
    <cellStyle name="Normal 4 21 3" xfId="3670"/>
    <cellStyle name="Normal 4 21 3 2" xfId="3671"/>
    <cellStyle name="Normal 4 21 3 2 2" xfId="3672"/>
    <cellStyle name="Normal 4 21 3 2 2 2" xfId="3673"/>
    <cellStyle name="Normal 4 21 3 2 3" xfId="3674"/>
    <cellStyle name="Normal 4 21 3 3" xfId="3675"/>
    <cellStyle name="Normal 4 21 3 3 2" xfId="3676"/>
    <cellStyle name="Normal 4 21 3 4" xfId="3677"/>
    <cellStyle name="Normal 4 21 4" xfId="3678"/>
    <cellStyle name="Normal 4 21 4 2" xfId="3679"/>
    <cellStyle name="Normal 4 21 4 2 2" xfId="3680"/>
    <cellStyle name="Normal 4 21 4 2 2 2" xfId="3681"/>
    <cellStyle name="Normal 4 21 4 2 3" xfId="3682"/>
    <cellStyle name="Normal 4 21 4 3" xfId="3683"/>
    <cellStyle name="Normal 4 21 4 3 2" xfId="3684"/>
    <cellStyle name="Normal 4 21 4 4" xfId="3685"/>
    <cellStyle name="Normal 4 21 5" xfId="3686"/>
    <cellStyle name="Normal 4 21 5 2" xfId="3687"/>
    <cellStyle name="Normal 4 21 5 2 2" xfId="3688"/>
    <cellStyle name="Normal 4 21 5 3" xfId="3689"/>
    <cellStyle name="Normal 4 21 6" xfId="3690"/>
    <cellStyle name="Normal 4 21 6 2" xfId="3691"/>
    <cellStyle name="Normal 4 21 7" xfId="3692"/>
    <cellStyle name="Normal 4 21 8" xfId="3693"/>
    <cellStyle name="Normal 4 22" xfId="3694"/>
    <cellStyle name="Normal 4 22 2" xfId="3695"/>
    <cellStyle name="Normal 4 22 2 2" xfId="3696"/>
    <cellStyle name="Normal 4 22 2 2 2" xfId="3697"/>
    <cellStyle name="Normal 4 22 2 3" xfId="3698"/>
    <cellStyle name="Normal 4 22 3" xfId="3699"/>
    <cellStyle name="Normal 4 22 3 2" xfId="3700"/>
    <cellStyle name="Normal 4 22 4" xfId="3701"/>
    <cellStyle name="Normal 4 22 5" xfId="3702"/>
    <cellStyle name="Normal 4 23" xfId="3703"/>
    <cellStyle name="Normal 4 23 2" xfId="3704"/>
    <cellStyle name="Normal 4 23 2 2" xfId="3705"/>
    <cellStyle name="Normal 4 23 2 2 2" xfId="3706"/>
    <cellStyle name="Normal 4 23 2 3" xfId="3707"/>
    <cellStyle name="Normal 4 23 3" xfId="3708"/>
    <cellStyle name="Normal 4 23 3 2" xfId="3709"/>
    <cellStyle name="Normal 4 23 4" xfId="3710"/>
    <cellStyle name="Normal 4 23 5" xfId="3711"/>
    <cellStyle name="Normal 4 24" xfId="3712"/>
    <cellStyle name="Normal 4 24 2" xfId="3713"/>
    <cellStyle name="Normal 4 24 2 2" xfId="3714"/>
    <cellStyle name="Normal 4 24 2 2 2" xfId="3715"/>
    <cellStyle name="Normal 4 24 2 3" xfId="3716"/>
    <cellStyle name="Normal 4 24 3" xfId="3717"/>
    <cellStyle name="Normal 4 24 3 2" xfId="3718"/>
    <cellStyle name="Normal 4 24 4" xfId="3719"/>
    <cellStyle name="Normal 4 24 5" xfId="3720"/>
    <cellStyle name="Normal 4 25" xfId="3721"/>
    <cellStyle name="Normal 4 25 2" xfId="3722"/>
    <cellStyle name="Normal 4 25 2 2" xfId="3723"/>
    <cellStyle name="Normal 4 25 3" xfId="3724"/>
    <cellStyle name="Normal 4 25 4" xfId="3725"/>
    <cellStyle name="Normal 4 26" xfId="3726"/>
    <cellStyle name="Normal 4 26 2" xfId="3727"/>
    <cellStyle name="Normal 4 27" xfId="3728"/>
    <cellStyle name="Normal 4 27 2" xfId="3729"/>
    <cellStyle name="Normal 4 27 2 2" xfId="3730"/>
    <cellStyle name="Normal 4 27 3" xfId="3731"/>
    <cellStyle name="Normal 4 27 4" xfId="3732"/>
    <cellStyle name="Normal 4 28" xfId="3733"/>
    <cellStyle name="Normal 4 28 2" xfId="3734"/>
    <cellStyle name="Normal 4 28 3" xfId="3735"/>
    <cellStyle name="Normal 4 29" xfId="3736"/>
    <cellStyle name="Normal 4 29 2" xfId="3737"/>
    <cellStyle name="Normal 4 3" xfId="3738"/>
    <cellStyle name="Normal 4 3 2" xfId="3739"/>
    <cellStyle name="Normal 4 3 2 2" xfId="3740"/>
    <cellStyle name="Normal 4 3 2 2 2" xfId="3741"/>
    <cellStyle name="Normal 4 3 2 3" xfId="3742"/>
    <cellStyle name="Normal 4 3 2 4" xfId="3743"/>
    <cellStyle name="Normal 4 3 3" xfId="3744"/>
    <cellStyle name="Normal 4 3 4" xfId="3745"/>
    <cellStyle name="Normal 4 30" xfId="3746"/>
    <cellStyle name="Normal 4 30 2" xfId="3747"/>
    <cellStyle name="Normal 4 31" xfId="3748"/>
    <cellStyle name="Normal 4 31 2" xfId="3749"/>
    <cellStyle name="Normal 4 32" xfId="3750"/>
    <cellStyle name="Normal 4 32 2" xfId="3751"/>
    <cellStyle name="Normal 4 33" xfId="3752"/>
    <cellStyle name="Normal 4 33 2" xfId="3753"/>
    <cellStyle name="Normal 4 34" xfId="3754"/>
    <cellStyle name="Normal 4 35" xfId="3755"/>
    <cellStyle name="Normal 4 36" xfId="3756"/>
    <cellStyle name="Normal 4 37" xfId="3757"/>
    <cellStyle name="Normal 4 38" xfId="3758"/>
    <cellStyle name="Normal 4 39" xfId="3759"/>
    <cellStyle name="Normal 4 4" xfId="3760"/>
    <cellStyle name="Normal 4 4 2" xfId="3761"/>
    <cellStyle name="Normal 4 4 3" xfId="3762"/>
    <cellStyle name="Normal 4 4 4" xfId="3763"/>
    <cellStyle name="Normal 4 40" xfId="3764"/>
    <cellStyle name="Normal 4 41" xfId="3765"/>
    <cellStyle name="Normal 4 42" xfId="3766"/>
    <cellStyle name="Normal 4 43" xfId="3767"/>
    <cellStyle name="Normal 4 44" xfId="3768"/>
    <cellStyle name="Normal 4 45" xfId="3769"/>
    <cellStyle name="Normal 4 46" xfId="3770"/>
    <cellStyle name="Normal 4 47" xfId="3771"/>
    <cellStyle name="Normal 4 48" xfId="3772"/>
    <cellStyle name="Normal 4 49" xfId="3773"/>
    <cellStyle name="Normal 4 5" xfId="3774"/>
    <cellStyle name="Normal 4 5 2" xfId="3775"/>
    <cellStyle name="Normal 4 50" xfId="3776"/>
    <cellStyle name="Normal 4 51" xfId="3777"/>
    <cellStyle name="Normal 4 52" xfId="3778"/>
    <cellStyle name="Normal 4 53" xfId="3779"/>
    <cellStyle name="Normal 4 54" xfId="3780"/>
    <cellStyle name="Normal 4 55" xfId="3781"/>
    <cellStyle name="Normal 4 56" xfId="3782"/>
    <cellStyle name="Normal 4 57" xfId="3783"/>
    <cellStyle name="Normal 4 58" xfId="3784"/>
    <cellStyle name="Normal 4 59" xfId="3785"/>
    <cellStyle name="Normal 4 6" xfId="3786"/>
    <cellStyle name="Normal 4 6 2" xfId="3787"/>
    <cellStyle name="Normal 4 60" xfId="3788"/>
    <cellStyle name="Normal 4 61" xfId="3789"/>
    <cellStyle name="Normal 4 62" xfId="3790"/>
    <cellStyle name="Normal 4 63" xfId="3791"/>
    <cellStyle name="Normal 4 64" xfId="3792"/>
    <cellStyle name="Normal 4 65" xfId="3793"/>
    <cellStyle name="Normal 4 66" xfId="3794"/>
    <cellStyle name="Normal 4 67" xfId="3795"/>
    <cellStyle name="Normal 4 68" xfId="3796"/>
    <cellStyle name="Normal 4 69" xfId="3797"/>
    <cellStyle name="Normal 4 7" xfId="3798"/>
    <cellStyle name="Normal 4 7 2" xfId="3799"/>
    <cellStyle name="Normal 4 70" xfId="3800"/>
    <cellStyle name="Normal 4 71" xfId="3801"/>
    <cellStyle name="Normal 4 72" xfId="3802"/>
    <cellStyle name="Normal 4 73" xfId="3803"/>
    <cellStyle name="Normal 4 74" xfId="3804"/>
    <cellStyle name="Normal 4 75" xfId="3805"/>
    <cellStyle name="Normal 4 76" xfId="3806"/>
    <cellStyle name="Normal 4 77" xfId="3807"/>
    <cellStyle name="Normal 4 78" xfId="3808"/>
    <cellStyle name="Normal 4 79" xfId="3809"/>
    <cellStyle name="Normal 4 8" xfId="3810"/>
    <cellStyle name="Normal 4 8 2" xfId="3811"/>
    <cellStyle name="Normal 4 80" xfId="3812"/>
    <cellStyle name="Normal 4 81" xfId="3813"/>
    <cellStyle name="Normal 4 82" xfId="3814"/>
    <cellStyle name="Normal 4 83" xfId="3815"/>
    <cellStyle name="Normal 4 84" xfId="3816"/>
    <cellStyle name="Normal 4 85" xfId="3817"/>
    <cellStyle name="Normal 4 86" xfId="3818"/>
    <cellStyle name="Normal 4 87" xfId="3819"/>
    <cellStyle name="Normal 4 88" xfId="3820"/>
    <cellStyle name="Normal 4 89" xfId="3821"/>
    <cellStyle name="Normal 4 9" xfId="3822"/>
    <cellStyle name="Normal 4 9 2" xfId="3823"/>
    <cellStyle name="Normal 4 90" xfId="3824"/>
    <cellStyle name="Normal 4 91" xfId="3825"/>
    <cellStyle name="Normal 4 92" xfId="3826"/>
    <cellStyle name="Normal 4 93" xfId="3827"/>
    <cellStyle name="Normal 4 94" xfId="3828"/>
    <cellStyle name="Normal 4 95" xfId="3829"/>
    <cellStyle name="Normal 4 96" xfId="3830"/>
    <cellStyle name="Normal 4 97" xfId="3831"/>
    <cellStyle name="Normal 4 98" xfId="3832"/>
    <cellStyle name="Normal 4 99" xfId="3833"/>
    <cellStyle name="Normal 40" xfId="3834"/>
    <cellStyle name="Normal 41" xfId="3835"/>
    <cellStyle name="Normal 42" xfId="3836"/>
    <cellStyle name="Normal 43" xfId="3837"/>
    <cellStyle name="Normal 44" xfId="3838"/>
    <cellStyle name="Normal 45" xfId="3839"/>
    <cellStyle name="Normal 46" xfId="3840"/>
    <cellStyle name="Normal 47" xfId="3841"/>
    <cellStyle name="Normal 47 10" xfId="3842"/>
    <cellStyle name="Normal 47 11" xfId="3843"/>
    <cellStyle name="Normal 47 11 2" xfId="3844"/>
    <cellStyle name="Normal 47 11 3" xfId="3845"/>
    <cellStyle name="Normal 47 11 4" xfId="3846"/>
    <cellStyle name="Normal 47 11 5" xfId="3847"/>
    <cellStyle name="Normal 47 11 6" xfId="3848"/>
    <cellStyle name="Normal 47 11 7" xfId="3849"/>
    <cellStyle name="Normal 47 11 8" xfId="3850"/>
    <cellStyle name="Normal 47 12" xfId="3851"/>
    <cellStyle name="Normal 47 13" xfId="3852"/>
    <cellStyle name="Normal 47 14" xfId="3853"/>
    <cellStyle name="Normal 47 15" xfId="3854"/>
    <cellStyle name="Normal 47 16" xfId="3855"/>
    <cellStyle name="Normal 47 17" xfId="3856"/>
    <cellStyle name="Normal 47 2" xfId="3857"/>
    <cellStyle name="Normal 47 3" xfId="3858"/>
    <cellStyle name="Normal 47 3 2" xfId="3859"/>
    <cellStyle name="Normal 47 3 3" xfId="3860"/>
    <cellStyle name="Normal 47 3 4" xfId="3861"/>
    <cellStyle name="Normal 47 3 5" xfId="3862"/>
    <cellStyle name="Normal 47 3 6" xfId="3863"/>
    <cellStyle name="Normal 47 3 7" xfId="3864"/>
    <cellStyle name="Normal 47 3 8" xfId="3865"/>
    <cellStyle name="Normal 47 4" xfId="3866"/>
    <cellStyle name="Normal 47 4 2" xfId="3867"/>
    <cellStyle name="Normal 47 4 3" xfId="3868"/>
    <cellStyle name="Normal 47 4 4" xfId="3869"/>
    <cellStyle name="Normal 47 4 5" xfId="3870"/>
    <cellStyle name="Normal 47 4 6" xfId="3871"/>
    <cellStyle name="Normal 47 4 7" xfId="3872"/>
    <cellStyle name="Normal 47 4 8" xfId="3873"/>
    <cellStyle name="Normal 47 5" xfId="3874"/>
    <cellStyle name="Normal 47 5 2" xfId="3875"/>
    <cellStyle name="Normal 47 5 3" xfId="3876"/>
    <cellStyle name="Normal 47 5 4" xfId="3877"/>
    <cellStyle name="Normal 47 5 5" xfId="3878"/>
    <cellStyle name="Normal 47 5 6" xfId="3879"/>
    <cellStyle name="Normal 47 5 7" xfId="3880"/>
    <cellStyle name="Normal 47 5 8" xfId="3881"/>
    <cellStyle name="Normal 47 6" xfId="3882"/>
    <cellStyle name="Normal 47 6 2" xfId="3883"/>
    <cellStyle name="Normal 47 6 3" xfId="3884"/>
    <cellStyle name="Normal 47 6 4" xfId="3885"/>
    <cellStyle name="Normal 47 6 5" xfId="3886"/>
    <cellStyle name="Normal 47 6 6" xfId="3887"/>
    <cellStyle name="Normal 47 6 7" xfId="3888"/>
    <cellStyle name="Normal 47 6 8" xfId="3889"/>
    <cellStyle name="Normal 47 7" xfId="3890"/>
    <cellStyle name="Normal 47 7 2" xfId="3891"/>
    <cellStyle name="Normal 47 7 3" xfId="3892"/>
    <cellStyle name="Normal 47 7 4" xfId="3893"/>
    <cellStyle name="Normal 47 7 5" xfId="3894"/>
    <cellStyle name="Normal 47 7 6" xfId="3895"/>
    <cellStyle name="Normal 47 7 7" xfId="3896"/>
    <cellStyle name="Normal 47 7 8" xfId="3897"/>
    <cellStyle name="Normal 47 8" xfId="3898"/>
    <cellStyle name="Normal 47 8 2" xfId="3899"/>
    <cellStyle name="Normal 47 8 3" xfId="3900"/>
    <cellStyle name="Normal 47 8 4" xfId="3901"/>
    <cellStyle name="Normal 47 8 5" xfId="3902"/>
    <cellStyle name="Normal 47 8 6" xfId="3903"/>
    <cellStyle name="Normal 47 8 7" xfId="3904"/>
    <cellStyle name="Normal 47 8 8" xfId="3905"/>
    <cellStyle name="Normal 47 9" xfId="3906"/>
    <cellStyle name="Normal 48" xfId="3907"/>
    <cellStyle name="Normal 49" xfId="3908"/>
    <cellStyle name="Normal 49 2" xfId="3909"/>
    <cellStyle name="Normal 49 2 2" xfId="3910"/>
    <cellStyle name="Normal 49 2 2 2" xfId="3911"/>
    <cellStyle name="Normal 49 2 2 2 2" xfId="3912"/>
    <cellStyle name="Normal 49 2 2 3" xfId="3913"/>
    <cellStyle name="Normal 49 2 3" xfId="3914"/>
    <cellStyle name="Normal 49 2 3 2" xfId="3915"/>
    <cellStyle name="Normal 49 2 4" xfId="3916"/>
    <cellStyle name="Normal 49 3" xfId="3917"/>
    <cellStyle name="Normal 49 3 2" xfId="3918"/>
    <cellStyle name="Normal 49 3 2 2" xfId="3919"/>
    <cellStyle name="Normal 49 3 2 2 2" xfId="3920"/>
    <cellStyle name="Normal 49 3 2 3" xfId="3921"/>
    <cellStyle name="Normal 49 3 3" xfId="3922"/>
    <cellStyle name="Normal 49 3 3 2" xfId="3923"/>
    <cellStyle name="Normal 49 3 4" xfId="3924"/>
    <cellStyle name="Normal 49 4" xfId="3925"/>
    <cellStyle name="Normal 49 4 2" xfId="3926"/>
    <cellStyle name="Normal 49 4 2 2" xfId="3927"/>
    <cellStyle name="Normal 49 4 2 2 2" xfId="3928"/>
    <cellStyle name="Normal 49 4 2 3" xfId="3929"/>
    <cellStyle name="Normal 49 4 3" xfId="3930"/>
    <cellStyle name="Normal 49 4 3 2" xfId="3931"/>
    <cellStyle name="Normal 49 4 4" xfId="3932"/>
    <cellStyle name="Normal 49 5" xfId="3933"/>
    <cellStyle name="Normal 49 5 2" xfId="3934"/>
    <cellStyle name="Normal 49 5 2 2" xfId="3935"/>
    <cellStyle name="Normal 49 5 3" xfId="3936"/>
    <cellStyle name="Normal 49 6" xfId="3937"/>
    <cellStyle name="Normal 49 6 2" xfId="3938"/>
    <cellStyle name="Normal 49 7" xfId="3939"/>
    <cellStyle name="Normal 49 8" xfId="3940"/>
    <cellStyle name="Normal 5 10" xfId="3941"/>
    <cellStyle name="Normal 5 10 2" xfId="3942"/>
    <cellStyle name="Normal 5 100" xfId="3943"/>
    <cellStyle name="Normal 5 101" xfId="3944"/>
    <cellStyle name="Normal 5 102" xfId="3945"/>
    <cellStyle name="Normal 5 103" xfId="3946"/>
    <cellStyle name="Normal 5 104" xfId="3947"/>
    <cellStyle name="Normal 5 105" xfId="3948"/>
    <cellStyle name="Normal 5 106" xfId="3949"/>
    <cellStyle name="Normal 5 107" xfId="3950"/>
    <cellStyle name="Normal 5 108" xfId="3951"/>
    <cellStyle name="Normal 5 109" xfId="3952"/>
    <cellStyle name="Normal 5 11" xfId="3953"/>
    <cellStyle name="Normal 5 11 2" xfId="3954"/>
    <cellStyle name="Normal 5 110" xfId="3955"/>
    <cellStyle name="Normal 5 111" xfId="3956"/>
    <cellStyle name="Normal 5 112" xfId="3957"/>
    <cellStyle name="Normal 5 113" xfId="3958"/>
    <cellStyle name="Normal 5 12" xfId="3959"/>
    <cellStyle name="Normal 5 12 2" xfId="3960"/>
    <cellStyle name="Normal 5 13" xfId="3961"/>
    <cellStyle name="Normal 5 13 2" xfId="3962"/>
    <cellStyle name="Normal 5 14" xfId="3963"/>
    <cellStyle name="Normal 5 14 2" xfId="3964"/>
    <cellStyle name="Normal 5 15" xfId="3965"/>
    <cellStyle name="Normal 5 15 2" xfId="3966"/>
    <cellStyle name="Normal 5 16" xfId="3967"/>
    <cellStyle name="Normal 5 16 2" xfId="3968"/>
    <cellStyle name="Normal 5 17" xfId="3969"/>
    <cellStyle name="Normal 5 17 2" xfId="3970"/>
    <cellStyle name="Normal 5 18" xfId="3971"/>
    <cellStyle name="Normal 5 18 2" xfId="3972"/>
    <cellStyle name="Normal 5 19" xfId="3973"/>
    <cellStyle name="Normal 5 19 2" xfId="3974"/>
    <cellStyle name="Normal 5 2 2" xfId="3975"/>
    <cellStyle name="Normal 5 2 3" xfId="3976"/>
    <cellStyle name="Normal 5 2 4" xfId="3977"/>
    <cellStyle name="Normal 5 2 5" xfId="3978"/>
    <cellStyle name="Normal 5 20" xfId="3979"/>
    <cellStyle name="Normal 5 20 2" xfId="3980"/>
    <cellStyle name="Normal 5 21" xfId="3981"/>
    <cellStyle name="Normal 5 21 2" xfId="3982"/>
    <cellStyle name="Normal 5 22" xfId="3983"/>
    <cellStyle name="Normal 5 22 2" xfId="3984"/>
    <cellStyle name="Normal 5 22 2 2" xfId="3985"/>
    <cellStyle name="Normal 5 22 3" xfId="3986"/>
    <cellStyle name="Normal 5 22 4" xfId="3987"/>
    <cellStyle name="Normal 5 23" xfId="3988"/>
    <cellStyle name="Normal 5 23 2" xfId="3989"/>
    <cellStyle name="Normal 5 24" xfId="3990"/>
    <cellStyle name="Normal 5 24 2" xfId="3991"/>
    <cellStyle name="Normal 5 25" xfId="3992"/>
    <cellStyle name="Normal 5 25 2" xfId="3993"/>
    <cellStyle name="Normal 5 26" xfId="3994"/>
    <cellStyle name="Normal 5 26 2" xfId="3995"/>
    <cellStyle name="Normal 5 27" xfId="3996"/>
    <cellStyle name="Normal 5 27 2" xfId="3997"/>
    <cellStyle name="Normal 5 28" xfId="3998"/>
    <cellStyle name="Normal 5 28 2" xfId="3999"/>
    <cellStyle name="Normal 5 29" xfId="4000"/>
    <cellStyle name="Normal 5 29 2" xfId="4001"/>
    <cellStyle name="Normal 5 3" xfId="4002"/>
    <cellStyle name="Normal 5 3 2" xfId="4003"/>
    <cellStyle name="Normal 5 30" xfId="4004"/>
    <cellStyle name="Normal 5 30 2" xfId="4005"/>
    <cellStyle name="Normal 5 31" xfId="4006"/>
    <cellStyle name="Normal 5 31 2" xfId="4007"/>
    <cellStyle name="Normal 5 32" xfId="4008"/>
    <cellStyle name="Normal 5 32 2" xfId="4009"/>
    <cellStyle name="Normal 5 33" xfId="4010"/>
    <cellStyle name="Normal 5 33 2" xfId="4011"/>
    <cellStyle name="Normal 5 34" xfId="4012"/>
    <cellStyle name="Normal 5 34 2" xfId="4013"/>
    <cellStyle name="Normal 5 35" xfId="4014"/>
    <cellStyle name="Normal 5 35 2" xfId="4015"/>
    <cellStyle name="Normal 5 36" xfId="4016"/>
    <cellStyle name="Normal 5 36 2" xfId="4017"/>
    <cellStyle name="Normal 5 37" xfId="4018"/>
    <cellStyle name="Normal 5 37 2" xfId="4019"/>
    <cellStyle name="Normal 5 38" xfId="4020"/>
    <cellStyle name="Normal 5 39" xfId="4021"/>
    <cellStyle name="Normal 5 4" xfId="4022"/>
    <cellStyle name="Normal 5 4 2" xfId="4023"/>
    <cellStyle name="Normal 5 40" xfId="4024"/>
    <cellStyle name="Normal 5 41" xfId="4025"/>
    <cellStyle name="Normal 5 42" xfId="4026"/>
    <cellStyle name="Normal 5 43" xfId="4027"/>
    <cellStyle name="Normal 5 44" xfId="4028"/>
    <cellStyle name="Normal 5 45" xfId="4029"/>
    <cellStyle name="Normal 5 46" xfId="4030"/>
    <cellStyle name="Normal 5 47" xfId="4031"/>
    <cellStyle name="Normal 5 48" xfId="4032"/>
    <cellStyle name="Normal 5 49" xfId="4033"/>
    <cellStyle name="Normal 5 5" xfId="4034"/>
    <cellStyle name="Normal 5 5 2" xfId="4035"/>
    <cellStyle name="Normal 5 50" xfId="4036"/>
    <cellStyle name="Normal 5 51" xfId="4037"/>
    <cellStyle name="Normal 5 52" xfId="4038"/>
    <cellStyle name="Normal 5 53" xfId="4039"/>
    <cellStyle name="Normal 5 54" xfId="4040"/>
    <cellStyle name="Normal 5 55" xfId="4041"/>
    <cellStyle name="Normal 5 56" xfId="4042"/>
    <cellStyle name="Normal 5 57" xfId="4043"/>
    <cellStyle name="Normal 5 58" xfId="4044"/>
    <cellStyle name="Normal 5 59" xfId="4045"/>
    <cellStyle name="Normal 5 6" xfId="4046"/>
    <cellStyle name="Normal 5 6 2" xfId="4047"/>
    <cellStyle name="Normal 5 60" xfId="4048"/>
    <cellStyle name="Normal 5 61" xfId="4049"/>
    <cellStyle name="Normal 5 62" xfId="4050"/>
    <cellStyle name="Normal 5 63" xfId="4051"/>
    <cellStyle name="Normal 5 64" xfId="4052"/>
    <cellStyle name="Normal 5 65" xfId="4053"/>
    <cellStyle name="Normal 5 66" xfId="4054"/>
    <cellStyle name="Normal 5 67" xfId="4055"/>
    <cellStyle name="Normal 5 68" xfId="4056"/>
    <cellStyle name="Normal 5 69" xfId="4057"/>
    <cellStyle name="Normal 5 7" xfId="4058"/>
    <cellStyle name="Normal 5 7 2" xfId="4059"/>
    <cellStyle name="Normal 5 70" xfId="4060"/>
    <cellStyle name="Normal 5 71" xfId="4061"/>
    <cellStyle name="Normal 5 72" xfId="4062"/>
    <cellStyle name="Normal 5 73" xfId="4063"/>
    <cellStyle name="Normal 5 74" xfId="4064"/>
    <cellStyle name="Normal 5 75" xfId="4065"/>
    <cellStyle name="Normal 5 76" xfId="4066"/>
    <cellStyle name="Normal 5 77" xfId="4067"/>
    <cellStyle name="Normal 5 78" xfId="4068"/>
    <cellStyle name="Normal 5 79" xfId="4069"/>
    <cellStyle name="Normal 5 8" xfId="4070"/>
    <cellStyle name="Normal 5 8 2" xfId="4071"/>
    <cellStyle name="Normal 5 80" xfId="4072"/>
    <cellStyle name="Normal 5 81" xfId="4073"/>
    <cellStyle name="Normal 5 82" xfId="4074"/>
    <cellStyle name="Normal 5 83" xfId="4075"/>
    <cellStyle name="Normal 5 84" xfId="4076"/>
    <cellStyle name="Normal 5 85" xfId="4077"/>
    <cellStyle name="Normal 5 86" xfId="4078"/>
    <cellStyle name="Normal 5 87" xfId="4079"/>
    <cellStyle name="Normal 5 88" xfId="4080"/>
    <cellStyle name="Normal 5 89" xfId="4081"/>
    <cellStyle name="Normal 5 9" xfId="4082"/>
    <cellStyle name="Normal 5 9 2" xfId="4083"/>
    <cellStyle name="Normal 5 90" xfId="4084"/>
    <cellStyle name="Normal 5 91" xfId="4085"/>
    <cellStyle name="Normal 5 92" xfId="4086"/>
    <cellStyle name="Normal 5 93" xfId="4087"/>
    <cellStyle name="Normal 5 94" xfId="4088"/>
    <cellStyle name="Normal 5 95" xfId="4089"/>
    <cellStyle name="Normal 5 96" xfId="4090"/>
    <cellStyle name="Normal 5 97" xfId="4091"/>
    <cellStyle name="Normal 5 98" xfId="4092"/>
    <cellStyle name="Normal 5 99" xfId="4093"/>
    <cellStyle name="Normal 50" xfId="4094"/>
    <cellStyle name="Normal 50 2" xfId="4095"/>
    <cellStyle name="Normal 50 3" xfId="4096"/>
    <cellStyle name="Normal 50 4" xfId="4097"/>
    <cellStyle name="Normal 50 5" xfId="4098"/>
    <cellStyle name="Normal 50 6" xfId="4099"/>
    <cellStyle name="Normal 50 7" xfId="4100"/>
    <cellStyle name="Normal 50 8" xfId="4101"/>
    <cellStyle name="Normal 51" xfId="4102"/>
    <cellStyle name="Normal 51 2" xfId="4103"/>
    <cellStyle name="Normal 51 2 2" xfId="4104"/>
    <cellStyle name="Normal 51 2 2 2" xfId="4105"/>
    <cellStyle name="Normal 51 2 2 2 2" xfId="4106"/>
    <cellStyle name="Normal 51 2 2 3" xfId="4107"/>
    <cellStyle name="Normal 51 2 3" xfId="4108"/>
    <cellStyle name="Normal 51 2 3 2" xfId="4109"/>
    <cellStyle name="Normal 51 2 4" xfId="4110"/>
    <cellStyle name="Normal 51 3" xfId="4111"/>
    <cellStyle name="Normal 51 3 2" xfId="4112"/>
    <cellStyle name="Normal 51 3 2 2" xfId="4113"/>
    <cellStyle name="Normal 51 3 3" xfId="4114"/>
    <cellStyle name="Normal 51 4" xfId="4115"/>
    <cellStyle name="Normal 51 4 2" xfId="4116"/>
    <cellStyle name="Normal 51 5" xfId="4117"/>
    <cellStyle name="Normal 51 6" xfId="4118"/>
    <cellStyle name="Normal 51 7" xfId="4119"/>
    <cellStyle name="Normal 51 8" xfId="4120"/>
    <cellStyle name="Normal 52" xfId="4121"/>
    <cellStyle name="Normal 52 2" xfId="4122"/>
    <cellStyle name="Normal 52 2 2" xfId="4123"/>
    <cellStyle name="Normal 52 3" xfId="4124"/>
    <cellStyle name="Normal 52 4" xfId="4125"/>
    <cellStyle name="Normal 52 5" xfId="4126"/>
    <cellStyle name="Normal 52 6" xfId="4127"/>
    <cellStyle name="Normal 52 7" xfId="4128"/>
    <cellStyle name="Normal 52 8" xfId="4129"/>
    <cellStyle name="Normal 53" xfId="4130"/>
    <cellStyle name="Normal 53 2" xfId="4131"/>
    <cellStyle name="Normal 53 2 2" xfId="4132"/>
    <cellStyle name="Normal 53 2 2 2" xfId="4133"/>
    <cellStyle name="Normal 53 2 3" xfId="4134"/>
    <cellStyle name="Normal 53 3" xfId="4135"/>
    <cellStyle name="Normal 53 3 2" xfId="4136"/>
    <cellStyle name="Normal 53 4" xfId="4137"/>
    <cellStyle name="Normal 53 5" xfId="4138"/>
    <cellStyle name="Normal 53 6" xfId="4139"/>
    <cellStyle name="Normal 53 7" xfId="4140"/>
    <cellStyle name="Normal 53 8" xfId="4141"/>
    <cellStyle name="Normal 54" xfId="4142"/>
    <cellStyle name="Normal 54 2" xfId="4143"/>
    <cellStyle name="Normal 54 3" xfId="4144"/>
    <cellStyle name="Normal 54 4" xfId="4145"/>
    <cellStyle name="Normal 54 5" xfId="4146"/>
    <cellStyle name="Normal 54 6" xfId="4147"/>
    <cellStyle name="Normal 54 7" xfId="4148"/>
    <cellStyle name="Normal 54 8" xfId="4149"/>
    <cellStyle name="Normal 55" xfId="4150"/>
    <cellStyle name="Normal 55 2" xfId="4151"/>
    <cellStyle name="Normal 55 3" xfId="4152"/>
    <cellStyle name="Normal 55 4" xfId="4153"/>
    <cellStyle name="Normal 55 5" xfId="4154"/>
    <cellStyle name="Normal 55 6" xfId="4155"/>
    <cellStyle name="Normal 55 7" xfId="4156"/>
    <cellStyle name="Normal 55 8" xfId="4157"/>
    <cellStyle name="Normal 56" xfId="4158"/>
    <cellStyle name="Normal 56 2" xfId="4159"/>
    <cellStyle name="Normal 56 3" xfId="4160"/>
    <cellStyle name="Normal 56 4" xfId="4161"/>
    <cellStyle name="Normal 56 5" xfId="4162"/>
    <cellStyle name="Normal 56 6" xfId="4163"/>
    <cellStyle name="Normal 56 7" xfId="4164"/>
    <cellStyle name="Normal 56 8" xfId="4165"/>
    <cellStyle name="Normal 57" xfId="4166"/>
    <cellStyle name="Normal 57 2" xfId="4167"/>
    <cellStyle name="Normal 57 3" xfId="4168"/>
    <cellStyle name="Normal 57 4" xfId="4169"/>
    <cellStyle name="Normal 57 5" xfId="4170"/>
    <cellStyle name="Normal 57 6" xfId="4171"/>
    <cellStyle name="Normal 57 7" xfId="4172"/>
    <cellStyle name="Normal 57 8" xfId="4173"/>
    <cellStyle name="Normal 58" xfId="4174"/>
    <cellStyle name="Normal 58 2" xfId="4175"/>
    <cellStyle name="Normal 58 3" xfId="4176"/>
    <cellStyle name="Normal 58 4" xfId="4177"/>
    <cellStyle name="Normal 58 5" xfId="4178"/>
    <cellStyle name="Normal 58 6" xfId="4179"/>
    <cellStyle name="Normal 58 7" xfId="4180"/>
    <cellStyle name="Normal 58 8" xfId="4181"/>
    <cellStyle name="Normal 59" xfId="4182"/>
    <cellStyle name="Normal 59 2" xfId="4183"/>
    <cellStyle name="Normal 59 3" xfId="4184"/>
    <cellStyle name="Normal 59 4" xfId="4185"/>
    <cellStyle name="Normal 59 5" xfId="4186"/>
    <cellStyle name="Normal 59 6" xfId="4187"/>
    <cellStyle name="Normal 59 7" xfId="4188"/>
    <cellStyle name="Normal 59 8" xfId="4189"/>
    <cellStyle name="Normal 6 10" xfId="4190"/>
    <cellStyle name="Normal 6 10 2" xfId="4191"/>
    <cellStyle name="Normal 6 100" xfId="4192"/>
    <cellStyle name="Normal 6 101" xfId="4193"/>
    <cellStyle name="Normal 6 102" xfId="4194"/>
    <cellStyle name="Normal 6 103" xfId="4195"/>
    <cellStyle name="Normal 6 104" xfId="4196"/>
    <cellStyle name="Normal 6 105" xfId="4197"/>
    <cellStyle name="Normal 6 106" xfId="4198"/>
    <cellStyle name="Normal 6 107" xfId="4199"/>
    <cellStyle name="Normal 6 108" xfId="4200"/>
    <cellStyle name="Normal 6 109" xfId="4201"/>
    <cellStyle name="Normal 6 11" xfId="4202"/>
    <cellStyle name="Normal 6 11 2" xfId="4203"/>
    <cellStyle name="Normal 6 110" xfId="4204"/>
    <cellStyle name="Normal 6 111" xfId="4205"/>
    <cellStyle name="Normal 6 112" xfId="4206"/>
    <cellStyle name="Normal 6 113" xfId="4207"/>
    <cellStyle name="Normal 6 114" xfId="4208"/>
    <cellStyle name="Normal 6 115" xfId="4209"/>
    <cellStyle name="Normal 6 116" xfId="4210"/>
    <cellStyle name="Normal 6 117" xfId="4211"/>
    <cellStyle name="Normal 6 12" xfId="4212"/>
    <cellStyle name="Normal 6 12 2" xfId="4213"/>
    <cellStyle name="Normal 6 13" xfId="4214"/>
    <cellStyle name="Normal 6 13 2" xfId="4215"/>
    <cellStyle name="Normal 6 14" xfId="4216"/>
    <cellStyle name="Normal 6 14 2" xfId="4217"/>
    <cellStyle name="Normal 6 15" xfId="4218"/>
    <cellStyle name="Normal 6 15 2" xfId="4219"/>
    <cellStyle name="Normal 6 16" xfId="4220"/>
    <cellStyle name="Normal 6 16 2" xfId="4221"/>
    <cellStyle name="Normal 6 17" xfId="4222"/>
    <cellStyle name="Normal 6 17 2" xfId="4223"/>
    <cellStyle name="Normal 6 18" xfId="4224"/>
    <cellStyle name="Normal 6 18 2" xfId="4225"/>
    <cellStyle name="Normal 6 19" xfId="4226"/>
    <cellStyle name="Normal 6 19 2" xfId="4227"/>
    <cellStyle name="Normal 6 2" xfId="4228"/>
    <cellStyle name="Normal 6 2 2" xfId="4229"/>
    <cellStyle name="Normal 6 2 3" xfId="4230"/>
    <cellStyle name="Normal 6 2 4" xfId="4231"/>
    <cellStyle name="Normal 6 2 5" xfId="4232"/>
    <cellStyle name="Normal 6 20" xfId="4233"/>
    <cellStyle name="Normal 6 20 2" xfId="4234"/>
    <cellStyle name="Normal 6 21" xfId="4235"/>
    <cellStyle name="Normal 6 21 2" xfId="4236"/>
    <cellStyle name="Normal 6 21 2 2" xfId="4237"/>
    <cellStyle name="Normal 6 21 3" xfId="4238"/>
    <cellStyle name="Normal 6 21 4" xfId="4239"/>
    <cellStyle name="Normal 6 22" xfId="4240"/>
    <cellStyle name="Normal 6 22 2" xfId="4241"/>
    <cellStyle name="Normal 6 22 2 2" xfId="4242"/>
    <cellStyle name="Normal 6 22 3" xfId="4243"/>
    <cellStyle name="Normal 6 22 4" xfId="4244"/>
    <cellStyle name="Normal 6 23" xfId="4245"/>
    <cellStyle name="Normal 6 23 2" xfId="4246"/>
    <cellStyle name="Normal 6 24" xfId="4247"/>
    <cellStyle name="Normal 6 24 2" xfId="4248"/>
    <cellStyle name="Normal 6 25" xfId="4249"/>
    <cellStyle name="Normal 6 25 2" xfId="4250"/>
    <cellStyle name="Normal 6 26" xfId="4251"/>
    <cellStyle name="Normal 6 26 2" xfId="4252"/>
    <cellStyle name="Normal 6 27" xfId="4253"/>
    <cellStyle name="Normal 6 27 2" xfId="4254"/>
    <cellStyle name="Normal 6 28" xfId="4255"/>
    <cellStyle name="Normal 6 28 2" xfId="4256"/>
    <cellStyle name="Normal 6 29" xfId="4257"/>
    <cellStyle name="Normal 6 29 2" xfId="4258"/>
    <cellStyle name="Normal 6 3" xfId="4259"/>
    <cellStyle name="Normal 6 3 2" xfId="4260"/>
    <cellStyle name="Normal 6 3 3" xfId="4261"/>
    <cellStyle name="Normal 6 3 4" xfId="4262"/>
    <cellStyle name="Normal 6 30" xfId="4263"/>
    <cellStyle name="Normal 6 31" xfId="4264"/>
    <cellStyle name="Normal 6 32" xfId="4265"/>
    <cellStyle name="Normal 6 33" xfId="4266"/>
    <cellStyle name="Normal 6 34" xfId="4267"/>
    <cellStyle name="Normal 6 35" xfId="4268"/>
    <cellStyle name="Normal 6 36" xfId="4269"/>
    <cellStyle name="Normal 6 37" xfId="4270"/>
    <cellStyle name="Normal 6 38" xfId="4271"/>
    <cellStyle name="Normal 6 39" xfId="4272"/>
    <cellStyle name="Normal 6 4" xfId="4273"/>
    <cellStyle name="Normal 6 4 2" xfId="4274"/>
    <cellStyle name="Normal 6 40" xfId="4275"/>
    <cellStyle name="Normal 6 41" xfId="4276"/>
    <cellStyle name="Normal 6 42" xfId="4277"/>
    <cellStyle name="Normal 6 43" xfId="4278"/>
    <cellStyle name="Normal 6 44" xfId="4279"/>
    <cellStyle name="Normal 6 45" xfId="4280"/>
    <cellStyle name="Normal 6 46" xfId="4281"/>
    <cellStyle name="Normal 6 47" xfId="4282"/>
    <cellStyle name="Normal 6 48" xfId="4283"/>
    <cellStyle name="Normal 6 49" xfId="4284"/>
    <cellStyle name="Normal 6 5" xfId="4285"/>
    <cellStyle name="Normal 6 5 2" xfId="4286"/>
    <cellStyle name="Normal 6 50" xfId="4287"/>
    <cellStyle name="Normal 6 51" xfId="4288"/>
    <cellStyle name="Normal 6 52" xfId="4289"/>
    <cellStyle name="Normal 6 53" xfId="4290"/>
    <cellStyle name="Normal 6 54" xfId="4291"/>
    <cellStyle name="Normal 6 55" xfId="4292"/>
    <cellStyle name="Normal 6 56" xfId="4293"/>
    <cellStyle name="Normal 6 57" xfId="4294"/>
    <cellStyle name="Normal 6 58" xfId="4295"/>
    <cellStyle name="Normal 6 59" xfId="4296"/>
    <cellStyle name="Normal 6 6" xfId="4297"/>
    <cellStyle name="Normal 6 6 2" xfId="4298"/>
    <cellStyle name="Normal 6 60" xfId="4299"/>
    <cellStyle name="Normal 6 61" xfId="4300"/>
    <cellStyle name="Normal 6 62" xfId="4301"/>
    <cellStyle name="Normal 6 63" xfId="4302"/>
    <cellStyle name="Normal 6 64" xfId="4303"/>
    <cellStyle name="Normal 6 65" xfId="4304"/>
    <cellStyle name="Normal 6 66" xfId="4305"/>
    <cellStyle name="Normal 6 67" xfId="4306"/>
    <cellStyle name="Normal 6 68" xfId="4307"/>
    <cellStyle name="Normal 6 69" xfId="4308"/>
    <cellStyle name="Normal 6 7" xfId="4309"/>
    <cellStyle name="Normal 6 7 2" xfId="4310"/>
    <cellStyle name="Normal 6 70" xfId="4311"/>
    <cellStyle name="Normal 6 71" xfId="4312"/>
    <cellStyle name="Normal 6 72" xfId="4313"/>
    <cellStyle name="Normal 6 73" xfId="4314"/>
    <cellStyle name="Normal 6 74" xfId="4315"/>
    <cellStyle name="Normal 6 75" xfId="4316"/>
    <cellStyle name="Normal 6 76" xfId="4317"/>
    <cellStyle name="Normal 6 77" xfId="4318"/>
    <cellStyle name="Normal 6 78" xfId="4319"/>
    <cellStyle name="Normal 6 79" xfId="4320"/>
    <cellStyle name="Normal 6 8" xfId="4321"/>
    <cellStyle name="Normal 6 8 2" xfId="4322"/>
    <cellStyle name="Normal 6 80" xfId="4323"/>
    <cellStyle name="Normal 6 81" xfId="4324"/>
    <cellStyle name="Normal 6 82" xfId="4325"/>
    <cellStyle name="Normal 6 83" xfId="4326"/>
    <cellStyle name="Normal 6 84" xfId="4327"/>
    <cellStyle name="Normal 6 85" xfId="4328"/>
    <cellStyle name="Normal 6 86" xfId="4329"/>
    <cellStyle name="Normal 6 87" xfId="4330"/>
    <cellStyle name="Normal 6 88" xfId="4331"/>
    <cellStyle name="Normal 6 89" xfId="4332"/>
    <cellStyle name="Normal 6 9" xfId="4333"/>
    <cellStyle name="Normal 6 9 2" xfId="4334"/>
    <cellStyle name="Normal 6 90" xfId="4335"/>
    <cellStyle name="Normal 6 91" xfId="4336"/>
    <cellStyle name="Normal 6 92" xfId="4337"/>
    <cellStyle name="Normal 6 93" xfId="4338"/>
    <cellStyle name="Normal 6 94" xfId="4339"/>
    <cellStyle name="Normal 6 95" xfId="4340"/>
    <cellStyle name="Normal 6 96" xfId="4341"/>
    <cellStyle name="Normal 6 97" xfId="4342"/>
    <cellStyle name="Normal 6 98" xfId="4343"/>
    <cellStyle name="Normal 6 99" xfId="4344"/>
    <cellStyle name="Normal 60 2" xfId="4345"/>
    <cellStyle name="Normal 60 3" xfId="4346"/>
    <cellStyle name="Normal 60 4" xfId="4347"/>
    <cellStyle name="Normal 60 5" xfId="4348"/>
    <cellStyle name="Normal 60 6" xfId="4349"/>
    <cellStyle name="Normal 60 7" xfId="4350"/>
    <cellStyle name="Normal 60 8" xfId="4351"/>
    <cellStyle name="Normal 61 2" xfId="4352"/>
    <cellStyle name="Normal 61 3" xfId="4353"/>
    <cellStyle name="Normal 61 4" xfId="4354"/>
    <cellStyle name="Normal 61 5" xfId="4355"/>
    <cellStyle name="Normal 61 6" xfId="4356"/>
    <cellStyle name="Normal 61 7" xfId="4357"/>
    <cellStyle name="Normal 61 8" xfId="4358"/>
    <cellStyle name="Normal 62 2" xfId="4359"/>
    <cellStyle name="Normal 62 3" xfId="4360"/>
    <cellStyle name="Normal 62 4" xfId="4361"/>
    <cellStyle name="Normal 62 5" xfId="4362"/>
    <cellStyle name="Normal 62 6" xfId="4363"/>
    <cellStyle name="Normal 62 7" xfId="4364"/>
    <cellStyle name="Normal 62 8" xfId="4365"/>
    <cellStyle name="Normal 63 2" xfId="4366"/>
    <cellStyle name="Normal 63 3" xfId="4367"/>
    <cellStyle name="Normal 63 4" xfId="4368"/>
    <cellStyle name="Normal 63 5" xfId="4369"/>
    <cellStyle name="Normal 63 6" xfId="4370"/>
    <cellStyle name="Normal 63 7" xfId="4371"/>
    <cellStyle name="Normal 63 8" xfId="4372"/>
    <cellStyle name="Normal 64 2" xfId="4373"/>
    <cellStyle name="Normal 64 3" xfId="4374"/>
    <cellStyle name="Normal 64 4" xfId="4375"/>
    <cellStyle name="Normal 64 5" xfId="4376"/>
    <cellStyle name="Normal 64 6" xfId="4377"/>
    <cellStyle name="Normal 64 7" xfId="4378"/>
    <cellStyle name="Normal 64 8" xfId="4379"/>
    <cellStyle name="Normal 65" xfId="4380"/>
    <cellStyle name="Normal 65 2" xfId="4381"/>
    <cellStyle name="Normal 65 3" xfId="4382"/>
    <cellStyle name="Normal 65 4" xfId="4383"/>
    <cellStyle name="Normal 65 5" xfId="4384"/>
    <cellStyle name="Normal 65 6" xfId="4385"/>
    <cellStyle name="Normal 65 7" xfId="4386"/>
    <cellStyle name="Normal 65 8" xfId="4387"/>
    <cellStyle name="Normal 67 2" xfId="4388"/>
    <cellStyle name="Normal 67 3" xfId="4389"/>
    <cellStyle name="Normal 67 4" xfId="4390"/>
    <cellStyle name="Normal 67 5" xfId="4391"/>
    <cellStyle name="Normal 67 6" xfId="4392"/>
    <cellStyle name="Normal 67 7" xfId="4393"/>
    <cellStyle name="Normal 67 8" xfId="4394"/>
    <cellStyle name="Normal 69 2" xfId="4395"/>
    <cellStyle name="Normal 69 3" xfId="4396"/>
    <cellStyle name="Normal 69 4" xfId="4397"/>
    <cellStyle name="Normal 69 5" xfId="4398"/>
    <cellStyle name="Normal 69 6" xfId="4399"/>
    <cellStyle name="Normal 69 7" xfId="4400"/>
    <cellStyle name="Normal 69 8" xfId="4401"/>
    <cellStyle name="Normal 7" xfId="4402"/>
    <cellStyle name="Normal 7 10" xfId="4403"/>
    <cellStyle name="Normal 7 11" xfId="4404"/>
    <cellStyle name="Normal 7 12" xfId="4405"/>
    <cellStyle name="Normal 7 13" xfId="4406"/>
    <cellStyle name="Normal 7 14" xfId="4407"/>
    <cellStyle name="Normal 7 15" xfId="4408"/>
    <cellStyle name="Normal 7 16" xfId="4409"/>
    <cellStyle name="Normal 7 17" xfId="4410"/>
    <cellStyle name="Normal 7 18" xfId="4411"/>
    <cellStyle name="Normal 7 19" xfId="4412"/>
    <cellStyle name="Normal 7 2" xfId="4413"/>
    <cellStyle name="Normal 7 2 2" xfId="4414"/>
    <cellStyle name="Normal 7 2 3" xfId="4415"/>
    <cellStyle name="Normal 7 2 4" xfId="4416"/>
    <cellStyle name="Normal 7 20" xfId="4417"/>
    <cellStyle name="Normal 7 21" xfId="4418"/>
    <cellStyle name="Normal 7 22" xfId="4419"/>
    <cellStyle name="Normal 7 23" xfId="4420"/>
    <cellStyle name="Normal 7 24" xfId="4421"/>
    <cellStyle name="Normal 7 25" xfId="4422"/>
    <cellStyle name="Normal 7 26" xfId="4423"/>
    <cellStyle name="Normal 7 27" xfId="4424"/>
    <cellStyle name="Normal 7 28" xfId="4425"/>
    <cellStyle name="Normal 7 29" xfId="4426"/>
    <cellStyle name="Normal 7 3" xfId="4427"/>
    <cellStyle name="Normal 7 30" xfId="4428"/>
    <cellStyle name="Normal 7 31" xfId="4429"/>
    <cellStyle name="Normal 7 32" xfId="4430"/>
    <cellStyle name="Normal 7 33" xfId="4431"/>
    <cellStyle name="Normal 7 34" xfId="4432"/>
    <cellStyle name="Normal 7 35" xfId="4433"/>
    <cellStyle name="Normal 7 36" xfId="4434"/>
    <cellStyle name="Normal 7 37" xfId="4435"/>
    <cellStyle name="Normal 7 38" xfId="4436"/>
    <cellStyle name="Normal 7 4" xfId="4437"/>
    <cellStyle name="Normal 7 5" xfId="4438"/>
    <cellStyle name="Normal 7 6" xfId="4439"/>
    <cellStyle name="Normal 7 7" xfId="4440"/>
    <cellStyle name="Normal 7 8" xfId="4441"/>
    <cellStyle name="Normal 7 9" xfId="4442"/>
    <cellStyle name="Normal 70 2" xfId="4443"/>
    <cellStyle name="Normal 70 3" xfId="4444"/>
    <cellStyle name="Normal 70 4" xfId="4445"/>
    <cellStyle name="Normal 70 5" xfId="4446"/>
    <cellStyle name="Normal 70 6" xfId="4447"/>
    <cellStyle name="Normal 70 7" xfId="4448"/>
    <cellStyle name="Normal 70 8" xfId="4449"/>
    <cellStyle name="Normal 71 2" xfId="4450"/>
    <cellStyle name="Normal 71 3" xfId="4451"/>
    <cellStyle name="Normal 71 4" xfId="4452"/>
    <cellStyle name="Normal 71 5" xfId="4453"/>
    <cellStyle name="Normal 71 6" xfId="4454"/>
    <cellStyle name="Normal 71 7" xfId="4455"/>
    <cellStyle name="Normal 71 8" xfId="4456"/>
    <cellStyle name="Normal 72 2" xfId="4457"/>
    <cellStyle name="Normal 72 3" xfId="4458"/>
    <cellStyle name="Normal 72 4" xfId="4459"/>
    <cellStyle name="Normal 72 5" xfId="4460"/>
    <cellStyle name="Normal 72 6" xfId="4461"/>
    <cellStyle name="Normal 72 7" xfId="4462"/>
    <cellStyle name="Normal 72 8" xfId="4463"/>
    <cellStyle name="Normal 73 2" xfId="4464"/>
    <cellStyle name="Normal 73 3" xfId="4465"/>
    <cellStyle name="Normal 73 4" xfId="4466"/>
    <cellStyle name="Normal 73 5" xfId="4467"/>
    <cellStyle name="Normal 73 6" xfId="4468"/>
    <cellStyle name="Normal 73 7" xfId="4469"/>
    <cellStyle name="Normal 73 8" xfId="4470"/>
    <cellStyle name="Normal 74 2" xfId="4471"/>
    <cellStyle name="Normal 74 3" xfId="4472"/>
    <cellStyle name="Normal 74 4" xfId="4473"/>
    <cellStyle name="Normal 74 5" xfId="4474"/>
    <cellStyle name="Normal 74 6" xfId="4475"/>
    <cellStyle name="Normal 74 7" xfId="4476"/>
    <cellStyle name="Normal 74 8" xfId="4477"/>
    <cellStyle name="Normal 75 2" xfId="4478"/>
    <cellStyle name="Normal 75 3" xfId="4479"/>
    <cellStyle name="Normal 75 4" xfId="4480"/>
    <cellStyle name="Normal 75 5" xfId="4481"/>
    <cellStyle name="Normal 75 6" xfId="4482"/>
    <cellStyle name="Normal 75 7" xfId="4483"/>
    <cellStyle name="Normal 75 8" xfId="4484"/>
    <cellStyle name="Normal 76" xfId="4485"/>
    <cellStyle name="Normal 77" xfId="4486"/>
    <cellStyle name="Normal 8" xfId="4487"/>
    <cellStyle name="Normal 8 10" xfId="4488"/>
    <cellStyle name="Normal 8 11" xfId="4489"/>
    <cellStyle name="Normal 8 12" xfId="4490"/>
    <cellStyle name="Normal 8 13" xfId="4491"/>
    <cellStyle name="Normal 8 14" xfId="4492"/>
    <cellStyle name="Normal 8 15" xfId="4493"/>
    <cellStyle name="Normal 8 16" xfId="4494"/>
    <cellStyle name="Normal 8 17" xfId="4495"/>
    <cellStyle name="Normal 8 18" xfId="4496"/>
    <cellStyle name="Normal 8 19" xfId="4497"/>
    <cellStyle name="Normal 8 2" xfId="4498"/>
    <cellStyle name="Normal 8 2 2" xfId="4499"/>
    <cellStyle name="Normal 8 2 3" xfId="4500"/>
    <cellStyle name="Normal 8 20" xfId="4501"/>
    <cellStyle name="Normal 8 21" xfId="4502"/>
    <cellStyle name="Normal 8 21 2" xfId="4503"/>
    <cellStyle name="Normal 8 21 2 2" xfId="4504"/>
    <cellStyle name="Normal 8 21 2 2 2" xfId="4505"/>
    <cellStyle name="Normal 8 21 2 3" xfId="4506"/>
    <cellStyle name="Normal 8 21 3" xfId="4507"/>
    <cellStyle name="Normal 8 21 3 2" xfId="4508"/>
    <cellStyle name="Normal 8 21 4" xfId="4509"/>
    <cellStyle name="Normal 8 22" xfId="4510"/>
    <cellStyle name="Normal 8 22 2" xfId="4511"/>
    <cellStyle name="Normal 8 22 2 2" xfId="4512"/>
    <cellStyle name="Normal 8 22 2 2 2" xfId="4513"/>
    <cellStyle name="Normal 8 22 2 3" xfId="4514"/>
    <cellStyle name="Normal 8 22 3" xfId="4515"/>
    <cellStyle name="Normal 8 22 3 2" xfId="4516"/>
    <cellStyle name="Normal 8 22 4" xfId="4517"/>
    <cellStyle name="Normal 8 23" xfId="4518"/>
    <cellStyle name="Normal 8 23 2" xfId="4519"/>
    <cellStyle name="Normal 8 23 2 2" xfId="4520"/>
    <cellStyle name="Normal 8 23 3" xfId="4521"/>
    <cellStyle name="Normal 8 24" xfId="4522"/>
    <cellStyle name="Normal 8 24 2" xfId="4523"/>
    <cellStyle name="Normal 8 25" xfId="4524"/>
    <cellStyle name="Normal 8 26" xfId="4525"/>
    <cellStyle name="Normal 8 27" xfId="4526"/>
    <cellStyle name="Normal 8 28" xfId="4527"/>
    <cellStyle name="Normal 8 29" xfId="4528"/>
    <cellStyle name="Normal 8 3" xfId="4529"/>
    <cellStyle name="Normal 8 3 2" xfId="4530"/>
    <cellStyle name="Normal 8 30" xfId="4531"/>
    <cellStyle name="Normal 8 31" xfId="4532"/>
    <cellStyle name="Normal 8 32" xfId="4533"/>
    <cellStyle name="Normal 8 33" xfId="4534"/>
    <cellStyle name="Normal 8 34" xfId="4535"/>
    <cellStyle name="Normal 8 35" xfId="4536"/>
    <cellStyle name="Normal 8 36" xfId="4537"/>
    <cellStyle name="Normal 8 37" xfId="4538"/>
    <cellStyle name="Normal 8 38" xfId="4539"/>
    <cellStyle name="Normal 8 39" xfId="4540"/>
    <cellStyle name="Normal 8 4" xfId="4541"/>
    <cellStyle name="Normal 8 40" xfId="4542"/>
    <cellStyle name="Normal 8 41" xfId="4543"/>
    <cellStyle name="Normal 8 42" xfId="4544"/>
    <cellStyle name="Normal 8 5" xfId="4545"/>
    <cellStyle name="Normal 8 6" xfId="4546"/>
    <cellStyle name="Normal 8 7" xfId="4547"/>
    <cellStyle name="Normal 8 8" xfId="4548"/>
    <cellStyle name="Normal 8 9" xfId="4549"/>
    <cellStyle name="Normal 9" xfId="4550"/>
    <cellStyle name="Normal 9 2" xfId="4551"/>
    <cellStyle name="Normal 9 2 2" xfId="4552"/>
    <cellStyle name="Normal 9 3" xfId="4553"/>
    <cellStyle name="Normal 9 4" xfId="4554"/>
    <cellStyle name="Normal 9 5" xfId="4555"/>
    <cellStyle name="Normal 9 6" xfId="4556"/>
    <cellStyle name="Normal--" xfId="4557"/>
    <cellStyle name="Normal-- 2" xfId="4558"/>
    <cellStyle name="Normal-- 3" xfId="4559"/>
    <cellStyle name="Normal-- 4" xfId="4560"/>
    <cellStyle name="Normal-- 5" xfId="4561"/>
    <cellStyle name="Normal-- 6" xfId="4562"/>
    <cellStyle name="Normal-- 7" xfId="4563"/>
    <cellStyle name="Normal-- 8" xfId="4564"/>
    <cellStyle name="Normal2" xfId="4565"/>
    <cellStyle name="Normale_97.98.us" xfId="4566"/>
    <cellStyle name="NormalGB" xfId="4567"/>
    <cellStyle name="Normalx" xfId="4568"/>
    <cellStyle name="Note 2 10" xfId="4569"/>
    <cellStyle name="Note 2 11" xfId="4570"/>
    <cellStyle name="Note 2 2 2 2" xfId="4571"/>
    <cellStyle name="Note 2 2 2 3" xfId="4572"/>
    <cellStyle name="Note 2 2 3" xfId="4573"/>
    <cellStyle name="Note 2 2 4" xfId="4574"/>
    <cellStyle name="Note 2 3 2" xfId="4575"/>
    <cellStyle name="Note 2 4" xfId="4576"/>
    <cellStyle name="Note 2 5" xfId="4577"/>
    <cellStyle name="Note 2 6" xfId="4578"/>
    <cellStyle name="Note 2 7" xfId="4579"/>
    <cellStyle name="Note 2 8" xfId="4580"/>
    <cellStyle name="Note 2 9" xfId="4581"/>
    <cellStyle name="Note 4" xfId="4582"/>
    <cellStyle name="Note 4 2" xfId="4583"/>
    <cellStyle name="Note 5" xfId="4584"/>
    <cellStyle name="Note 5 2" xfId="4585"/>
    <cellStyle name="Note 6" xfId="4586"/>
    <cellStyle name="Note 6 2" xfId="4587"/>
    <cellStyle name="Note 7" xfId="4588"/>
    <cellStyle name="Note 7 2" xfId="4589"/>
    <cellStyle name="Note 8" xfId="4590"/>
    <cellStyle name="Note 8 2" xfId="4591"/>
    <cellStyle name="Note 8 2 2" xfId="4592"/>
    <cellStyle name="Note 8 2 2 2" xfId="4593"/>
    <cellStyle name="Note 8 2 2 2 2" xfId="4594"/>
    <cellStyle name="Note 8 2 2 3" xfId="4595"/>
    <cellStyle name="Note 8 2 3" xfId="4596"/>
    <cellStyle name="Note 8 2 3 2" xfId="4597"/>
    <cellStyle name="Note 8 2 4" xfId="4598"/>
    <cellStyle name="Note 8 3" xfId="4599"/>
    <cellStyle name="Note 8 3 2" xfId="4600"/>
    <cellStyle name="Note 8 3 2 2" xfId="4601"/>
    <cellStyle name="Note 8 3 2 2 2" xfId="4602"/>
    <cellStyle name="Note 8 3 2 3" xfId="4603"/>
    <cellStyle name="Note 8 3 3" xfId="4604"/>
    <cellStyle name="Note 8 3 3 2" xfId="4605"/>
    <cellStyle name="Note 8 3 4" xfId="4606"/>
    <cellStyle name="Note 8 4" xfId="4607"/>
    <cellStyle name="Note 8 4 2" xfId="4608"/>
    <cellStyle name="Note 8 4 2 2" xfId="4609"/>
    <cellStyle name="Note 8 4 3" xfId="4610"/>
    <cellStyle name="Note 8 5" xfId="4611"/>
    <cellStyle name="Note 8 5 2" xfId="4612"/>
    <cellStyle name="Note 8 6" xfId="4613"/>
    <cellStyle name="Nr 0 dec" xfId="4614"/>
    <cellStyle name="Nr 0 dec - Input" xfId="4615"/>
    <cellStyle name="Nr 0 dec - Subtotal" xfId="4616"/>
    <cellStyle name="Nr 0 dec_Data" xfId="4617"/>
    <cellStyle name="Nr 1 dec" xfId="4618"/>
    <cellStyle name="Nr 1 dec - Input" xfId="4619"/>
    <cellStyle name="Nr, 0 dec" xfId="4620"/>
    <cellStyle name="number" xfId="4621"/>
    <cellStyle name="Number, 1 dec" xfId="4622"/>
    <cellStyle name="Output (1dp#)" xfId="4623"/>
    <cellStyle name="Output (1dpx)_ Pies " xfId="4624"/>
    <cellStyle name="Output 2 4" xfId="4625"/>
    <cellStyle name="Output 2 5" xfId="4626"/>
    <cellStyle name="Output 2 6" xfId="4627"/>
    <cellStyle name="Output 2 7" xfId="4628"/>
    <cellStyle name="Output 2 8" xfId="4629"/>
    <cellStyle name="Output 2 9" xfId="4630"/>
    <cellStyle name="Output 3" xfId="4631"/>
    <cellStyle name="Page Heading" xfId="4632"/>
    <cellStyle name="Page Heading Large" xfId="4633"/>
    <cellStyle name="Page Heading Small" xfId="4634"/>
    <cellStyle name="Page Number" xfId="4635"/>
    <cellStyle name="pb_page_heading_LS" xfId="4636"/>
    <cellStyle name="Per aandeel" xfId="4637"/>
    <cellStyle name="Percent (1)" xfId="4638"/>
    <cellStyle name="Percent [0]" xfId="4639"/>
    <cellStyle name="Percent [00]" xfId="4640"/>
    <cellStyle name="Percent [1]" xfId="4641"/>
    <cellStyle name="Percent [2]" xfId="4642"/>
    <cellStyle name="Percent [2] 2" xfId="4643"/>
    <cellStyle name="Percent [2] 3" xfId="4644"/>
    <cellStyle name="Percent 1 dec" xfId="4645"/>
    <cellStyle name="Percent 1 dec - Input" xfId="4646"/>
    <cellStyle name="Percent 1 dec_Data" xfId="4647"/>
    <cellStyle name="Percent 10" xfId="4648"/>
    <cellStyle name="Percent 2 10" xfId="4649"/>
    <cellStyle name="Percent 2 10 2" xfId="4650"/>
    <cellStyle name="Percent 2 10 2 2" xfId="4651"/>
    <cellStyle name="Percent 2 10 3" xfId="4652"/>
    <cellStyle name="Percent 2 11" xfId="4653"/>
    <cellStyle name="Percent 2 12" xfId="4654"/>
    <cellStyle name="Percent 2 12 2" xfId="4655"/>
    <cellStyle name="Percent 2 12 2 2" xfId="4656"/>
    <cellStyle name="Percent 2 12 3" xfId="4657"/>
    <cellStyle name="Percent 2 13" xfId="4658"/>
    <cellStyle name="Percent 2 13 2" xfId="4659"/>
    <cellStyle name="Percent 2 14" xfId="4660"/>
    <cellStyle name="Percent 2 15" xfId="4661"/>
    <cellStyle name="Percent 2 16" xfId="4662"/>
    <cellStyle name="Percent 2 17" xfId="4663"/>
    <cellStyle name="Percent 2 18" xfId="4664"/>
    <cellStyle name="Percent 2 19" xfId="4665"/>
    <cellStyle name="Percent 2 2 2" xfId="4666"/>
    <cellStyle name="Percent 2 2 3" xfId="4667"/>
    <cellStyle name="Percent 2 2 4" xfId="4668"/>
    <cellStyle name="Percent 2 2 4 2" xfId="4669"/>
    <cellStyle name="Percent 2 2 4 2 2" xfId="4670"/>
    <cellStyle name="Percent 2 2 4 2 2 2" xfId="4671"/>
    <cellStyle name="Percent 2 2 4 2 3" xfId="4672"/>
    <cellStyle name="Percent 2 2 4 3" xfId="4673"/>
    <cellStyle name="Percent 2 2 4 3 2" xfId="4674"/>
    <cellStyle name="Percent 2 2 4 4" xfId="4675"/>
    <cellStyle name="Percent 2 2 5" xfId="4676"/>
    <cellStyle name="Percent 2 2 6" xfId="4677"/>
    <cellStyle name="Percent 2 4" xfId="4678"/>
    <cellStyle name="Percent 2 5" xfId="4679"/>
    <cellStyle name="Percent 2 5 2" xfId="4680"/>
    <cellStyle name="Percent 2 5 2 2" xfId="4681"/>
    <cellStyle name="Percent 2 5 2 2 2" xfId="4682"/>
    <cellStyle name="Percent 2 5 2 2 2 2" xfId="4683"/>
    <cellStyle name="Percent 2 5 2 2 3" xfId="4684"/>
    <cellStyle name="Percent 2 5 2 3" xfId="4685"/>
    <cellStyle name="Percent 2 5 2 3 2" xfId="4686"/>
    <cellStyle name="Percent 2 5 2 4" xfId="4687"/>
    <cellStyle name="Percent 2 5 3" xfId="4688"/>
    <cellStyle name="Percent 2 5 3 2" xfId="4689"/>
    <cellStyle name="Percent 2 5 3 2 2" xfId="4690"/>
    <cellStyle name="Percent 2 5 3 2 2 2" xfId="4691"/>
    <cellStyle name="Percent 2 5 3 2 3" xfId="4692"/>
    <cellStyle name="Percent 2 5 3 3" xfId="4693"/>
    <cellStyle name="Percent 2 5 3 3 2" xfId="4694"/>
    <cellStyle name="Percent 2 5 3 4" xfId="4695"/>
    <cellStyle name="Percent 2 5 4" xfId="4696"/>
    <cellStyle name="Percent 2 5 4 2" xfId="4697"/>
    <cellStyle name="Percent 2 5 4 2 2" xfId="4698"/>
    <cellStyle name="Percent 2 5 4 3" xfId="4699"/>
    <cellStyle name="Percent 2 5 5" xfId="4700"/>
    <cellStyle name="Percent 2 5 5 2" xfId="4701"/>
    <cellStyle name="Percent 2 5 6" xfId="4702"/>
    <cellStyle name="Percent 2 6" xfId="4703"/>
    <cellStyle name="Percent 2 6 2" xfId="4704"/>
    <cellStyle name="Percent 2 6 2 2" xfId="4705"/>
    <cellStyle name="Percent 2 6 2 2 2" xfId="4706"/>
    <cellStyle name="Percent 2 6 2 2 2 2" xfId="4707"/>
    <cellStyle name="Percent 2 6 2 2 3" xfId="4708"/>
    <cellStyle name="Percent 2 6 2 3" xfId="4709"/>
    <cellStyle name="Percent 2 6 2 3 2" xfId="4710"/>
    <cellStyle name="Percent 2 6 2 4" xfId="4711"/>
    <cellStyle name="Percent 2 6 3" xfId="4712"/>
    <cellStyle name="Percent 2 6 3 2" xfId="4713"/>
    <cellStyle name="Percent 2 6 3 2 2" xfId="4714"/>
    <cellStyle name="Percent 2 6 3 2 2 2" xfId="4715"/>
    <cellStyle name="Percent 2 6 3 2 3" xfId="4716"/>
    <cellStyle name="Percent 2 6 3 3" xfId="4717"/>
    <cellStyle name="Percent 2 6 3 3 2" xfId="4718"/>
    <cellStyle name="Percent 2 6 3 4" xfId="4719"/>
    <cellStyle name="Percent 2 6 4" xfId="4720"/>
    <cellStyle name="Percent 2 6 4 2" xfId="4721"/>
    <cellStyle name="Percent 2 6 4 2 2" xfId="4722"/>
    <cellStyle name="Percent 2 6 4 3" xfId="4723"/>
    <cellStyle name="Percent 2 6 5" xfId="4724"/>
    <cellStyle name="Percent 2 6 5 2" xfId="4725"/>
    <cellStyle name="Percent 2 6 6" xfId="4726"/>
    <cellStyle name="Percent 2 7" xfId="4727"/>
    <cellStyle name="Percent 2 7 2" xfId="4728"/>
    <cellStyle name="Percent 2 7 3" xfId="4729"/>
    <cellStyle name="Percent 2 7 4" xfId="4730"/>
    <cellStyle name="Percent 2 7 4 2" xfId="4731"/>
    <cellStyle name="Percent 2 7 4 2 2" xfId="4732"/>
    <cellStyle name="Percent 2 7 4 3" xfId="4733"/>
    <cellStyle name="Percent 2 7 5" xfId="4734"/>
    <cellStyle name="Percent 2 7 5 2" xfId="4735"/>
    <cellStyle name="Percent 2 7 6" xfId="4736"/>
    <cellStyle name="Percent 2 8" xfId="4737"/>
    <cellStyle name="Percent 2 8 2" xfId="4738"/>
    <cellStyle name="Percent 2 8 2 2" xfId="4739"/>
    <cellStyle name="Percent 2 8 2 2 2" xfId="4740"/>
    <cellStyle name="Percent 2 8 2 3" xfId="4741"/>
    <cellStyle name="Percent 2 8 3" xfId="4742"/>
    <cellStyle name="Percent 2 8 3 2" xfId="4743"/>
    <cellStyle name="Percent 2 8 4" xfId="4744"/>
    <cellStyle name="Percent 2 9" xfId="4745"/>
    <cellStyle name="Percent 3 2 2" xfId="4746"/>
    <cellStyle name="Percent 3 2 2 2" xfId="4747"/>
    <cellStyle name="Percent 3 2 3" xfId="4748"/>
    <cellStyle name="Percent 3 2 4" xfId="4749"/>
    <cellStyle name="Percent 3 3" xfId="4750"/>
    <cellStyle name="Percent 3 4" xfId="4751"/>
    <cellStyle name="Percent 4" xfId="4752"/>
    <cellStyle name="Percent 4 2" xfId="4753"/>
    <cellStyle name="Percent 4 2 2" xfId="4754"/>
    <cellStyle name="Percent 4 2 3" xfId="4755"/>
    <cellStyle name="Percent 4 3" xfId="4756"/>
    <cellStyle name="Percent 4 3 2" xfId="4757"/>
    <cellStyle name="Percent 4 3 2 2" xfId="4758"/>
    <cellStyle name="Percent 4 3 3" xfId="4759"/>
    <cellStyle name="Percent 4 4" xfId="4760"/>
    <cellStyle name="Percent 5" xfId="4761"/>
    <cellStyle name="Percent 5 2" xfId="4762"/>
    <cellStyle name="Percent 5 2 2" xfId="4763"/>
    <cellStyle name="Percent 5 2 2 2" xfId="4764"/>
    <cellStyle name="Percent 5 2 3" xfId="4765"/>
    <cellStyle name="Percent 6" xfId="4766"/>
    <cellStyle name="Percent 6 2" xfId="4767"/>
    <cellStyle name="Percent 6 2 2" xfId="4768"/>
    <cellStyle name="Percent 6 2 2 2" xfId="4769"/>
    <cellStyle name="Percent 6 2 3" xfId="4770"/>
    <cellStyle name="Percent 6 3" xfId="4771"/>
    <cellStyle name="Percent 6 3 2" xfId="4772"/>
    <cellStyle name="Percent 6 3 2 2" xfId="4773"/>
    <cellStyle name="Percent 6 3 3" xfId="4774"/>
    <cellStyle name="Percent 7" xfId="4775"/>
    <cellStyle name="Percent 7 2" xfId="4776"/>
    <cellStyle name="Percent 7 2 2" xfId="4777"/>
    <cellStyle name="Percent 7 2 2 2" xfId="4778"/>
    <cellStyle name="Percent 7 2 3" xfId="4779"/>
    <cellStyle name="Percent 7 3" xfId="4780"/>
    <cellStyle name="Percent 7 3 2" xfId="4781"/>
    <cellStyle name="Percent 7 4" xfId="4782"/>
    <cellStyle name="Percent 8" xfId="4783"/>
    <cellStyle name="Percent 9" xfId="4784"/>
    <cellStyle name="Percent Hard" xfId="4785"/>
    <cellStyle name="percentage" xfId="4786"/>
    <cellStyle name="PercentChange" xfId="4787"/>
    <cellStyle name="PLAN1" xfId="4788"/>
    <cellStyle name="Porcentaje" xfId="4789"/>
    <cellStyle name="Pourcentage_Profit &amp; Loss" xfId="4790"/>
    <cellStyle name="PrePop Currency (0)" xfId="4791"/>
    <cellStyle name="PrePop Currency (2)" xfId="4792"/>
    <cellStyle name="PrePop Units (0)" xfId="4793"/>
    <cellStyle name="PrePop Units (1)" xfId="4794"/>
    <cellStyle name="PrePop Units (2)" xfId="4795"/>
    <cellStyle name="Procenten" xfId="4796"/>
    <cellStyle name="Procenten estimate" xfId="4797"/>
    <cellStyle name="Procenten_EMI" xfId="4798"/>
    <cellStyle name="Profit figure" xfId="4799"/>
    <cellStyle name="Protected" xfId="4800"/>
    <cellStyle name="ProtectedDates" xfId="4801"/>
    <cellStyle name="PSChar" xfId="4802"/>
    <cellStyle name="PSDate" xfId="4803"/>
    <cellStyle name="PSDec" xfId="4804"/>
    <cellStyle name="PSHeading" xfId="4805"/>
    <cellStyle name="PSInt" xfId="4806"/>
    <cellStyle name="PSSpacer" xfId="4807"/>
    <cellStyle name="RatioX" xfId="4808"/>
    <cellStyle name="Red font" xfId="4809"/>
    <cellStyle name="ref" xfId="4810"/>
    <cellStyle name="Right" xfId="4811"/>
    <cellStyle name="Salomon Logo" xfId="4812"/>
    <cellStyle name="ScripFactor" xfId="4813"/>
    <cellStyle name="SectionHeading" xfId="4814"/>
    <cellStyle name="Shade" xfId="4815"/>
    <cellStyle name="Shaded" xfId="4816"/>
    <cellStyle name="Single Accounting" xfId="4817"/>
    <cellStyle name="SingleLineAcctgn" xfId="4818"/>
    <cellStyle name="SingleLinePercent" xfId="4819"/>
    <cellStyle name="Source Superscript" xfId="4820"/>
    <cellStyle name="Source Text" xfId="4821"/>
    <cellStyle name="ssp " xfId="4822"/>
    <cellStyle name="Standard" xfId="4823"/>
    <cellStyle name="Style 1" xfId="4824"/>
    <cellStyle name="Style 10" xfId="4825"/>
    <cellStyle name="Style 100" xfId="4826"/>
    <cellStyle name="Style 101" xfId="4827"/>
    <cellStyle name="Style 102" xfId="4828"/>
    <cellStyle name="Style 103" xfId="4829"/>
    <cellStyle name="Style 104" xfId="4830"/>
    <cellStyle name="Style 105" xfId="4831"/>
    <cellStyle name="Style 106" xfId="4832"/>
    <cellStyle name="Style 107" xfId="4833"/>
    <cellStyle name="Style 108" xfId="4834"/>
    <cellStyle name="Style 109" xfId="4835"/>
    <cellStyle name="Style 11" xfId="4836"/>
    <cellStyle name="Style 110" xfId="4837"/>
    <cellStyle name="Style 111" xfId="4838"/>
    <cellStyle name="Style 112" xfId="4839"/>
    <cellStyle name="Style 113" xfId="4840"/>
    <cellStyle name="Style 114" xfId="4841"/>
    <cellStyle name="Style 115" xfId="4842"/>
    <cellStyle name="Style 116" xfId="4843"/>
    <cellStyle name="Style 117" xfId="4844"/>
    <cellStyle name="Style 118" xfId="4845"/>
    <cellStyle name="Style 119" xfId="4846"/>
    <cellStyle name="Style 12" xfId="4847"/>
    <cellStyle name="Style 120" xfId="4848"/>
    <cellStyle name="Style 121" xfId="4849"/>
    <cellStyle name="Style 122" xfId="4850"/>
    <cellStyle name="Style 123" xfId="4851"/>
    <cellStyle name="Style 124" xfId="4852"/>
    <cellStyle name="Style 125" xfId="4853"/>
    <cellStyle name="Style 126" xfId="4854"/>
    <cellStyle name="Style 127" xfId="4855"/>
    <cellStyle name="Style 128" xfId="4856"/>
    <cellStyle name="Style 129" xfId="4857"/>
    <cellStyle name="Style 13" xfId="4858"/>
    <cellStyle name="Style 130" xfId="4859"/>
    <cellStyle name="Style 131" xfId="4860"/>
    <cellStyle name="Style 132" xfId="4861"/>
    <cellStyle name="Style 133" xfId="4862"/>
    <cellStyle name="Style 134" xfId="4863"/>
    <cellStyle name="Style 135" xfId="4864"/>
    <cellStyle name="Style 136" xfId="4865"/>
    <cellStyle name="Style 137" xfId="4866"/>
    <cellStyle name="Style 138" xfId="4867"/>
    <cellStyle name="Style 139" xfId="4868"/>
    <cellStyle name="Style 14" xfId="4869"/>
    <cellStyle name="Style 140" xfId="4870"/>
    <cellStyle name="Style 141" xfId="4871"/>
    <cellStyle name="Style 142" xfId="4872"/>
    <cellStyle name="Style 143" xfId="4873"/>
    <cellStyle name="Style 144" xfId="4874"/>
    <cellStyle name="Style 145" xfId="4875"/>
    <cellStyle name="Style 146" xfId="4876"/>
    <cellStyle name="Style 147" xfId="4877"/>
    <cellStyle name="Style 148" xfId="4878"/>
    <cellStyle name="Style 149" xfId="4879"/>
    <cellStyle name="Style 15" xfId="4880"/>
    <cellStyle name="Style 150" xfId="4881"/>
    <cellStyle name="Style 151" xfId="4882"/>
    <cellStyle name="Style 152" xfId="4883"/>
    <cellStyle name="Style 153" xfId="4884"/>
    <cellStyle name="Style 154" xfId="4885"/>
    <cellStyle name="Style 155" xfId="4886"/>
    <cellStyle name="Style 156" xfId="4887"/>
    <cellStyle name="Style 157" xfId="4888"/>
    <cellStyle name="Style 158" xfId="4889"/>
    <cellStyle name="Style 159" xfId="4890"/>
    <cellStyle name="Style 16" xfId="4891"/>
    <cellStyle name="Style 160" xfId="4892"/>
    <cellStyle name="Style 161" xfId="4893"/>
    <cellStyle name="Style 162" xfId="4894"/>
    <cellStyle name="Style 163" xfId="4895"/>
    <cellStyle name="Style 164" xfId="4896"/>
    <cellStyle name="Style 165" xfId="4897"/>
    <cellStyle name="Style 166" xfId="4898"/>
    <cellStyle name="Style 167" xfId="4899"/>
    <cellStyle name="Style 168" xfId="4900"/>
    <cellStyle name="Style 169" xfId="4901"/>
    <cellStyle name="Style 17" xfId="4902"/>
    <cellStyle name="Style 170" xfId="4903"/>
    <cellStyle name="Style 171" xfId="4904"/>
    <cellStyle name="Style 172" xfId="4905"/>
    <cellStyle name="Style 173" xfId="4906"/>
    <cellStyle name="Style 174" xfId="4907"/>
    <cellStyle name="Style 175" xfId="4908"/>
    <cellStyle name="Style 176" xfId="4909"/>
    <cellStyle name="Style 177" xfId="4910"/>
    <cellStyle name="Style 178" xfId="4911"/>
    <cellStyle name="Style 179" xfId="4912"/>
    <cellStyle name="Style 18" xfId="4913"/>
    <cellStyle name="Style 180" xfId="4914"/>
    <cellStyle name="Style 181" xfId="4915"/>
    <cellStyle name="Style 182" xfId="4916"/>
    <cellStyle name="Style 183" xfId="4917"/>
    <cellStyle name="Style 184" xfId="4918"/>
    <cellStyle name="Style 185" xfId="4919"/>
    <cellStyle name="Style 186" xfId="4920"/>
    <cellStyle name="Style 187" xfId="4921"/>
    <cellStyle name="Style 188" xfId="4922"/>
    <cellStyle name="Style 189" xfId="4923"/>
    <cellStyle name="Style 19" xfId="4924"/>
    <cellStyle name="Style 190" xfId="4925"/>
    <cellStyle name="Style 191" xfId="4926"/>
    <cellStyle name="Style 192" xfId="4927"/>
    <cellStyle name="Style 193" xfId="4928"/>
    <cellStyle name="Style 194" xfId="4929"/>
    <cellStyle name="Style 195" xfId="4930"/>
    <cellStyle name="Style 196" xfId="4931"/>
    <cellStyle name="Style 197" xfId="4932"/>
    <cellStyle name="Style 198" xfId="4933"/>
    <cellStyle name="Style 199" xfId="4934"/>
    <cellStyle name="Style 2" xfId="4935"/>
    <cellStyle name="Style 20" xfId="4936"/>
    <cellStyle name="Style 200" xfId="4937"/>
    <cellStyle name="Style 201" xfId="4938"/>
    <cellStyle name="Style 202" xfId="4939"/>
    <cellStyle name="Style 203" xfId="4940"/>
    <cellStyle name="Style 204" xfId="4941"/>
    <cellStyle name="Style 205" xfId="4942"/>
    <cellStyle name="Style 206" xfId="4943"/>
    <cellStyle name="Style 207" xfId="4944"/>
    <cellStyle name="Style 208" xfId="4945"/>
    <cellStyle name="Style 209" xfId="4946"/>
    <cellStyle name="Style 21" xfId="4947"/>
    <cellStyle name="Style 21 2" xfId="4948"/>
    <cellStyle name="Style 22" xfId="4949"/>
    <cellStyle name="Style 22 2" xfId="4950"/>
    <cellStyle name="Style 22 3" xfId="4951"/>
    <cellStyle name="Style 22 4" xfId="4952"/>
    <cellStyle name="Style 24" xfId="4953"/>
    <cellStyle name="Style 24 2" xfId="4954"/>
    <cellStyle name="Style 24 3" xfId="4955"/>
    <cellStyle name="Style 24 4" xfId="4956"/>
    <cellStyle name="Style 25" xfId="4957"/>
    <cellStyle name="Style 25 2" xfId="4958"/>
    <cellStyle name="Style 25 3" xfId="4959"/>
    <cellStyle name="Style 26" xfId="4960"/>
    <cellStyle name="Style 26 2" xfId="4961"/>
    <cellStyle name="Style 26 3" xfId="4962"/>
    <cellStyle name="Style 26 4" xfId="4963"/>
    <cellStyle name="Style 27" xfId="4964"/>
    <cellStyle name="Style 28" xfId="4965"/>
    <cellStyle name="Style 29" xfId="4966"/>
    <cellStyle name="Style 3" xfId="4967"/>
    <cellStyle name="Style 30" xfId="4968"/>
    <cellStyle name="Style 31" xfId="4969"/>
    <cellStyle name="Style 32" xfId="4970"/>
    <cellStyle name="Style 33" xfId="4971"/>
    <cellStyle name="Style 34" xfId="4972"/>
    <cellStyle name="Style 35" xfId="4973"/>
    <cellStyle name="Style 36" xfId="4974"/>
    <cellStyle name="Style 37" xfId="4975"/>
    <cellStyle name="Style 38" xfId="4976"/>
    <cellStyle name="Style 39" xfId="4977"/>
    <cellStyle name="Style 4" xfId="4978"/>
    <cellStyle name="Style 40" xfId="4979"/>
    <cellStyle name="Style 41" xfId="4980"/>
    <cellStyle name="Style 42" xfId="4981"/>
    <cellStyle name="Style 43" xfId="4982"/>
    <cellStyle name="Style 44" xfId="4983"/>
    <cellStyle name="Style 45" xfId="4984"/>
    <cellStyle name="Style 46" xfId="4985"/>
    <cellStyle name="Style 47" xfId="4986"/>
    <cellStyle name="Style 48" xfId="4987"/>
    <cellStyle name="Style 49" xfId="4988"/>
    <cellStyle name="Style 5" xfId="4989"/>
    <cellStyle name="Style 50" xfId="4990"/>
    <cellStyle name="Style 51" xfId="4991"/>
    <cellStyle name="Style 52" xfId="4992"/>
    <cellStyle name="Style 53" xfId="4993"/>
    <cellStyle name="Style 54" xfId="4994"/>
    <cellStyle name="Style 55" xfId="4995"/>
    <cellStyle name="Style 56" xfId="4996"/>
    <cellStyle name="Style 57" xfId="4997"/>
    <cellStyle name="Style 58" xfId="4998"/>
    <cellStyle name="Style 59" xfId="4999"/>
    <cellStyle name="Style 6" xfId="5000"/>
    <cellStyle name="Style 60" xfId="5001"/>
    <cellStyle name="Style 61" xfId="5002"/>
    <cellStyle name="Style 62" xfId="5003"/>
    <cellStyle name="Style 63" xfId="5004"/>
    <cellStyle name="Style 64" xfId="5005"/>
    <cellStyle name="Style 65" xfId="5006"/>
    <cellStyle name="Style 66" xfId="5007"/>
    <cellStyle name="Style 67" xfId="5008"/>
    <cellStyle name="Style 68" xfId="5009"/>
    <cellStyle name="Style 69" xfId="5010"/>
    <cellStyle name="Style 7" xfId="5011"/>
    <cellStyle name="Style 70" xfId="5012"/>
    <cellStyle name="Style 71" xfId="5013"/>
    <cellStyle name="Style 72" xfId="5014"/>
    <cellStyle name="Style 73" xfId="5015"/>
    <cellStyle name="Style 74" xfId="5016"/>
    <cellStyle name="Style 75" xfId="5017"/>
    <cellStyle name="Style 76" xfId="5018"/>
    <cellStyle name="Style 77" xfId="5019"/>
    <cellStyle name="Style 78" xfId="5020"/>
    <cellStyle name="Style 79" xfId="5021"/>
    <cellStyle name="Style 8" xfId="5022"/>
    <cellStyle name="Style 80" xfId="5023"/>
    <cellStyle name="Style 81" xfId="5024"/>
    <cellStyle name="Style 82" xfId="5025"/>
    <cellStyle name="Style 83" xfId="5026"/>
    <cellStyle name="Style 84" xfId="5027"/>
    <cellStyle name="Style 85" xfId="5028"/>
    <cellStyle name="Style 86" xfId="5029"/>
    <cellStyle name="Style 87" xfId="5030"/>
    <cellStyle name="Style 88" xfId="5031"/>
    <cellStyle name="Style 89" xfId="5032"/>
    <cellStyle name="Style 9" xfId="5033"/>
    <cellStyle name="Style 90" xfId="5034"/>
    <cellStyle name="Style 91" xfId="5035"/>
    <cellStyle name="Style 92" xfId="5036"/>
    <cellStyle name="Style 93" xfId="5037"/>
    <cellStyle name="Style 94" xfId="5038"/>
    <cellStyle name="Style 95" xfId="5039"/>
    <cellStyle name="Style 96" xfId="5040"/>
    <cellStyle name="Style 97" xfId="5041"/>
    <cellStyle name="Style 98" xfId="5042"/>
    <cellStyle name="Style 99" xfId="5043"/>
    <cellStyle name="STYLE1" xfId="5044"/>
    <cellStyle name="STYLE2" xfId="5045"/>
    <cellStyle name="STYLE3" xfId="5046"/>
    <cellStyle name="Subhead" xfId="5047"/>
    <cellStyle name="Subtotal_left" xfId="5048"/>
    <cellStyle name="SwitchCell" xfId="5049"/>
    <cellStyle name="t" xfId="5050"/>
    <cellStyle name="Table Col Head" xfId="5051"/>
    <cellStyle name="Table Head" xfId="5052"/>
    <cellStyle name="Table Head Aligned" xfId="5053"/>
    <cellStyle name="Table Head Blue" xfId="5054"/>
    <cellStyle name="Table Head Green" xfId="5055"/>
    <cellStyle name="Table Head_Val_Sum_Graph" xfId="5056"/>
    <cellStyle name="Table Sub Head" xfId="5057"/>
    <cellStyle name="Table Text" xfId="5058"/>
    <cellStyle name="Table Title" xfId="5059"/>
    <cellStyle name="Table Units" xfId="5060"/>
    <cellStyle name="Table_Header" xfId="5061"/>
    <cellStyle name="TableBorder" xfId="5062"/>
    <cellStyle name="TableColumnHeader" xfId="5063"/>
    <cellStyle name="TableHeading" xfId="5064"/>
    <cellStyle name="TableHighlight" xfId="5065"/>
    <cellStyle name="TableNote" xfId="5066"/>
    <cellStyle name="test a style" xfId="5067"/>
    <cellStyle name="Text 1" xfId="5068"/>
    <cellStyle name="Text Head 1" xfId="5069"/>
    <cellStyle name="Text Indent A" xfId="5070"/>
    <cellStyle name="Text Indent B" xfId="5071"/>
    <cellStyle name="Text Indent C" xfId="5072"/>
    <cellStyle name="Text Wrap" xfId="5073"/>
    <cellStyle name="Time" xfId="5074"/>
    <cellStyle name="Times 10" xfId="5075"/>
    <cellStyle name="Times 12" xfId="5076"/>
    <cellStyle name="Times New Roman" xfId="5077"/>
    <cellStyle name="Title 2 2" xfId="5078"/>
    <cellStyle name="Title 3" xfId="5079"/>
    <cellStyle name="Title-2" xfId="5080"/>
    <cellStyle name="title1" xfId="5081"/>
    <cellStyle name="title2" xfId="5082"/>
    <cellStyle name="Titles" xfId="5083"/>
    <cellStyle name="titre_col" xfId="5084"/>
    <cellStyle name="TOC" xfId="5085"/>
    <cellStyle name="Total 2 10" xfId="5086"/>
    <cellStyle name="Total 2 4" xfId="5087"/>
    <cellStyle name="Total 2 5" xfId="5088"/>
    <cellStyle name="Total 2 6" xfId="5089"/>
    <cellStyle name="Total 2 7" xfId="5090"/>
    <cellStyle name="Total 2 8" xfId="5091"/>
    <cellStyle name="Total 2 9" xfId="5092"/>
    <cellStyle name="Total 3" xfId="5093"/>
    <cellStyle name="Total Bold" xfId="5094"/>
    <cellStyle name="Totals" xfId="5095"/>
    <cellStyle name="Underline_Single" xfId="5096"/>
    <cellStyle name="UnProtectedCalc" xfId="5097"/>
    <cellStyle name="Valuta (0)_Sheet1" xfId="5098"/>
    <cellStyle name="Valuta_piv_polio" xfId="5099"/>
    <cellStyle name="Währung [0]_A17 - 31.03.1998" xfId="5100"/>
    <cellStyle name="Währung_A17 - 31.03.1998" xfId="5101"/>
    <cellStyle name="Warburg" xfId="5102"/>
    <cellStyle name="Warning Text 2 2" xfId="5103"/>
    <cellStyle name="Warning Text 2 3" xfId="5104"/>
    <cellStyle name="Warning Text 2 4" xfId="5105"/>
    <cellStyle name="Warning Text 2 5" xfId="5106"/>
    <cellStyle name="Warning Text 2 6" xfId="5107"/>
    <cellStyle name="Warning Text 2 7" xfId="5108"/>
    <cellStyle name="Warning Text 2 8" xfId="5109"/>
    <cellStyle name="Warning Text 2 9" xfId="5110"/>
    <cellStyle name="Warning Text 3" xfId="5111"/>
    <cellStyle name="wild guess" xfId="5112"/>
    <cellStyle name="Wildguess" xfId="5113"/>
    <cellStyle name="Year" xfId="5114"/>
    <cellStyle name="Year Estimate" xfId="5115"/>
    <cellStyle name="Year, Actual" xfId="5116"/>
    <cellStyle name="YearE_ Pies " xfId="5117"/>
    <cellStyle name="YearFormat" xfId="5118"/>
    <cellStyle name="Yen" xfId="5119"/>
    <cellStyle name="YesNo" xfId="5120"/>
    <cellStyle name="쬞\?1@" xfId="5121"/>
    <cellStyle name="千位分隔 2" xfId="5122"/>
    <cellStyle name="常规 2" xfId="5123"/>
    <cellStyle name="標準_car_JP" xfId="5124"/>
    <cellStyle name="Followed Hyperlink" xfId="5125" hidden="1" builtinId="9"/>
    <cellStyle name="Followed Hyperlink" xfId="5126" hidden="1" builtinId="9"/>
    <cellStyle name="Followed Hyperlink" xfId="5127" hidden="1" builtinId="9"/>
    <cellStyle name="Followed Hyperlink" xfId="5128" hidden="1" builtinId="9"/>
    <cellStyle name="Followed Hyperlink" xfId="5129" hidden="1" builtinId="9"/>
    <cellStyle name="Followed Hyperlink" xfId="5130" hidden="1" builtinId="9"/>
    <cellStyle name="Followed Hyperlink" xfId="5131" hidden="1" builtinId="9"/>
    <cellStyle name="Followed Hyperlink" xfId="5132" hidden="1" builtinId="9"/>
    <cellStyle name="Followed Hyperlink" xfId="5133" hidden="1" builtinId="9"/>
    <cellStyle name="Followed Hyperlink" xfId="5134" hidden="1" builtinId="9"/>
    <cellStyle name="Followed Hyperlink" xfId="5135" hidden="1" builtinId="9"/>
    <cellStyle name="Followed Hyperlink" xfId="5136" hidden="1" builtinId="9"/>
    <cellStyle name="Followed Hyperlink" xfId="5137" hidden="1" builtinId="9"/>
    <cellStyle name="Followed Hyperlink" xfId="5138" hidden="1" builtinId="9"/>
    <cellStyle name="Followed Hyperlink" xfId="5139" hidden="1" builtinId="9"/>
    <cellStyle name="Followed Hyperlink" xfId="5140" hidden="1" builtinId="9"/>
    <cellStyle name="Followed Hyperlink" xfId="5141" hidden="1" builtinId="9"/>
    <cellStyle name="Followed Hyperlink" xfId="5142" hidden="1" builtinId="9"/>
    <cellStyle name="Followed Hyperlink" xfId="5143" hidden="1" builtinId="9"/>
    <cellStyle name="Followed Hyperlink" xfId="5144" hidden="1" builtinId="9"/>
    <cellStyle name="Followed Hyperlink" xfId="5145" hidden="1" builtinId="9"/>
    <cellStyle name="Followed Hyperlink" xfId="5146" hidden="1" builtinId="9"/>
    <cellStyle name="Followed Hyperlink" xfId="5147" hidden="1" builtinId="9"/>
    <cellStyle name="Followed Hyperlink" xfId="5148" hidden="1" builtinId="9"/>
    <cellStyle name="Followed Hyperlink" xfId="5149" hidden="1" builtinId="9"/>
    <cellStyle name="Followed Hyperlink" xfId="5150" hidden="1" builtinId="9"/>
    <cellStyle name="Followed Hyperlink" xfId="5151" hidden="1" builtinId="9"/>
    <cellStyle name="Followed Hyperlink" xfId="5152" hidden="1" builtinId="9"/>
    <cellStyle name="Followed Hyperlink" xfId="5153" hidden="1" builtinId="9"/>
    <cellStyle name="Followed Hyperlink" xfId="5154" hidden="1" builtinId="9"/>
    <cellStyle name="Followed Hyperlink" xfId="5155" hidden="1" builtinId="9"/>
    <cellStyle name="Followed Hyperlink" xfId="5156" hidden="1" builtinId="9"/>
    <cellStyle name="Followed Hyperlink" xfId="5157" hidden="1" builtinId="9"/>
    <cellStyle name="Followed Hyperlink" xfId="5158" hidden="1" builtinId="9"/>
    <cellStyle name="Followed Hyperlink" xfId="5159" hidden="1" builtinId="9"/>
    <cellStyle name="Followed Hyperlink" xfId="5160" hidden="1" builtinId="9"/>
    <cellStyle name="Followed Hyperlink" xfId="5161" hidden="1" builtinId="9"/>
    <cellStyle name="Followed Hyperlink" xfId="5162" hidden="1" builtinId="9"/>
    <cellStyle name="Followed Hyperlink" xfId="5163" hidden="1" builtinId="9"/>
    <cellStyle name="Followed Hyperlink" xfId="5164" hidden="1" builtinId="9"/>
    <cellStyle name="Followed Hyperlink" xfId="5165" hidden="1" builtinId="9"/>
    <cellStyle name="Followed Hyperlink" xfId="5166" hidden="1" builtinId="9"/>
    <cellStyle name="Normal 2 48" xfId="5167"/>
    <cellStyle name="Followed Hyperlink" xfId="5168" hidden="1" builtinId="9"/>
    <cellStyle name="Followed Hyperlink" xfId="5169" hidden="1" builtinId="9"/>
    <cellStyle name="Followed Hyperlink" xfId="5170" hidden="1" builtinId="9"/>
    <cellStyle name="Followed Hyperlink" xfId="5171" hidden="1" builtinId="9"/>
    <cellStyle name="Followed Hyperlink" xfId="5172" hidden="1" builtinId="9"/>
    <cellStyle name="Followed Hyperlink" xfId="5173" hidden="1" builtinId="9"/>
    <cellStyle name="Followed Hyperlink" xfId="5174" hidden="1" builtinId="9"/>
    <cellStyle name="Followed Hyperlink" xfId="5175" hidden="1" builtinId="9"/>
    <cellStyle name="Followed Hyperlink" xfId="5176" hidden="1" builtinId="9"/>
    <cellStyle name="Followed Hyperlink" xfId="5177" hidden="1" builtinId="9"/>
    <cellStyle name="Followed Hyperlink" xfId="5178" hidden="1" builtinId="9"/>
    <cellStyle name="Followed Hyperlink" xfId="5179" hidden="1" builtinId="9"/>
    <cellStyle name="Followed Hyperlink" xfId="5180" hidden="1" builtinId="9"/>
    <cellStyle name="Followed Hyperlink" xfId="5181" hidden="1" builtinId="9"/>
    <cellStyle name="Followed Hyperlink" xfId="5182" hidden="1" builtinId="9"/>
    <cellStyle name="Followed Hyperlink" xfId="5183" hidden="1" builtinId="9"/>
    <cellStyle name="Followed Hyperlink" xfId="5184" hidden="1" builtinId="9"/>
    <cellStyle name="Followed Hyperlink" xfId="5185" hidden="1" builtinId="9"/>
    <cellStyle name="Followed Hyperlink" xfId="5186" hidden="1" builtinId="9"/>
    <cellStyle name="Followed Hyperlink" xfId="5187" hidden="1" builtinId="9"/>
    <cellStyle name="Followed Hyperlink" xfId="5188" hidden="1" builtinId="9"/>
    <cellStyle name="Followed Hyperlink" xfId="5189" hidden="1" builtinId="9"/>
    <cellStyle name="Followed Hyperlink" xfId="5190" hidden="1" builtinId="9"/>
    <cellStyle name="Followed Hyperlink" xfId="5191" hidden="1" builtinId="9"/>
    <cellStyle name="Followed Hyperlink" xfId="5192" hidden="1" builtinId="9"/>
    <cellStyle name="Followed Hyperlink" xfId="5193" hidden="1" builtinId="9"/>
    <cellStyle name="Followed Hyperlink" xfId="5194" hidden="1" builtinId="9"/>
    <cellStyle name="Followed Hyperlink" xfId="5195" hidden="1" builtinId="9"/>
    <cellStyle name="Followed Hyperlink" xfId="5196" hidden="1" builtinId="9"/>
    <cellStyle name="Followed Hyperlink" xfId="5197" hidden="1" builtinId="9"/>
    <cellStyle name="Followed Hyperlink" xfId="5198" hidden="1" builtinId="9"/>
    <cellStyle name="Followed Hyperlink" xfId="5199" hidden="1" builtinId="9"/>
    <cellStyle name="Followed Hyperlink" xfId="5200" hidden="1" builtinId="9"/>
    <cellStyle name="Followed Hyperlink" xfId="5201" hidden="1" builtinId="9"/>
    <cellStyle name="Followed Hyperlink" xfId="5202" hidden="1" builtinId="9"/>
    <cellStyle name="Followed Hyperlink" xfId="5203" hidden="1" builtinId="9"/>
    <cellStyle name="Followed Hyperlink" xfId="5204" hidden="1" builtinId="9"/>
    <cellStyle name="Followed Hyperlink" xfId="5205" hidden="1" builtinId="9"/>
    <cellStyle name="Followed Hyperlink" xfId="5206" hidden="1" builtinId="9"/>
    <cellStyle name="Followed Hyperlink" xfId="5207" hidden="1" builtinId="9"/>
    <cellStyle name="Followed Hyperlink" xfId="5208" hidden="1" builtinId="9"/>
    <cellStyle name="Followed Hyperlink" xfId="5209" hidden="1" builtinId="9"/>
    <cellStyle name="Followed Hyperlink" xfId="5210" hidden="1" builtinId="9"/>
    <cellStyle name="Followed Hyperlink" xfId="5211" hidden="1" builtinId="9"/>
    <cellStyle name="Followed Hyperlink" xfId="5212" hidden="1" builtinId="9"/>
    <cellStyle name="Followed Hyperlink" xfId="5213" hidden="1" builtinId="9"/>
    <cellStyle name="Followed Hyperlink" xfId="5214" hidden="1" builtinId="9"/>
    <cellStyle name="Followed Hyperlink" xfId="5215" hidden="1" builtinId="9"/>
    <cellStyle name="Followed Hyperlink" xfId="5216" hidden="1" builtinId="9"/>
    <cellStyle name="Followed Hyperlink" xfId="5217" hidden="1" builtinId="9"/>
    <cellStyle name="Followed Hyperlink" xfId="5218" hidden="1" builtinId="9"/>
    <cellStyle name="Followed Hyperlink" xfId="5219" hidden="1" builtinId="9"/>
    <cellStyle name="Followed Hyperlink" xfId="5220" hidden="1" builtinId="9"/>
    <cellStyle name="Followed Hyperlink" xfId="5221" hidden="1" builtinId="9"/>
    <cellStyle name="Followed Hyperlink" xfId="5222" hidden="1" builtinId="9"/>
    <cellStyle name="Followed Hyperlink" xfId="5223" hidden="1" builtinId="9"/>
    <cellStyle name="Followed Hyperlink" xfId="5224" hidden="1" builtinId="9"/>
    <cellStyle name="Followed Hyperlink" xfId="5225" hidden="1" builtinId="9"/>
    <cellStyle name="Followed Hyperlink" xfId="5226" hidden="1" builtinId="9"/>
    <cellStyle name="Followed Hyperlink" xfId="5227" hidden="1" builtinId="9"/>
    <cellStyle name="Followed Hyperlink" xfId="5228" hidden="1" builtinId="9"/>
    <cellStyle name="Followed Hyperlink" xfId="5229" hidden="1" builtinId="9"/>
    <cellStyle name="Followed Hyperlink" xfId="5230" hidden="1" builtinId="9"/>
    <cellStyle name="Followed Hyperlink" xfId="5231" hidden="1" builtinId="9"/>
    <cellStyle name="Followed Hyperlink" xfId="5232" hidden="1" builtinId="9"/>
    <cellStyle name="Followed Hyperlink" xfId="5233" hidden="1" builtinId="9"/>
    <cellStyle name="Followed Hyperlink" xfId="5234" hidden="1" builtinId="9"/>
    <cellStyle name="Followed Hyperlink" xfId="5235" hidden="1" builtinId="9"/>
    <cellStyle name="Followed Hyperlink" xfId="5236" hidden="1" builtinId="9"/>
    <cellStyle name="Followed Hyperlink" xfId="5237" hidden="1" builtinId="9"/>
    <cellStyle name="Followed Hyperlink" xfId="5238" hidden="1" builtinId="9"/>
    <cellStyle name="Followed Hyperlink" xfId="5239" hidden="1" builtinId="9"/>
    <cellStyle name="Followed Hyperlink" xfId="5240" hidden="1" builtinId="9"/>
    <cellStyle name="Followed Hyperlink" xfId="5241" hidden="1" builtinId="9"/>
    <cellStyle name="Followed Hyperlink" xfId="5242" hidden="1" builtinId="9"/>
    <cellStyle name="Followed Hyperlink" xfId="5243" hidden="1" builtinId="9"/>
    <cellStyle name="Followed Hyperlink" xfId="5244" hidden="1" builtinId="9"/>
    <cellStyle name="Followed Hyperlink" xfId="5245" hidden="1" builtinId="9"/>
    <cellStyle name="Followed Hyperlink" xfId="5246" hidden="1" builtinId="9"/>
    <cellStyle name="Followed Hyperlink" xfId="5247" hidden="1" builtinId="9"/>
    <cellStyle name="Followed Hyperlink" xfId="5248" hidden="1" builtinId="9"/>
    <cellStyle name="Followed Hyperlink" xfId="5249" hidden="1" builtinId="9"/>
    <cellStyle name="Followed Hyperlink" xfId="5250" hidden="1" builtinId="9"/>
    <cellStyle name="Followed Hyperlink" xfId="5251" hidden="1" builtinId="9"/>
    <cellStyle name="Followed Hyperlink" xfId="5252" hidden="1" builtinId="9"/>
    <cellStyle name="Followed Hyperlink" xfId="5253" hidden="1" builtinId="9"/>
    <cellStyle name="Followed Hyperlink" xfId="5254" hidden="1" builtinId="9"/>
    <cellStyle name="Followed Hyperlink" xfId="5255" hidden="1" builtinId="9"/>
    <cellStyle name="Followed Hyperlink" xfId="5256" hidden="1" builtinId="9"/>
    <cellStyle name="Followed Hyperlink" xfId="5257" hidden="1" builtinId="9"/>
    <cellStyle name="Followed Hyperlink" xfId="5258" hidden="1" builtinId="9"/>
    <cellStyle name="Followed Hyperlink" xfId="5259" hidden="1" builtinId="9"/>
    <cellStyle name="Followed Hyperlink" xfId="5260" hidden="1" builtinId="9"/>
    <cellStyle name="Followed Hyperlink" xfId="5261" hidden="1" builtinId="9"/>
    <cellStyle name="Followed Hyperlink" xfId="5262" hidden="1" builtinId="9"/>
    <cellStyle name="Followed Hyperlink" xfId="5263" hidden="1" builtinId="9"/>
    <cellStyle name="Followed Hyperlink" xfId="5264" hidden="1" builtinId="9"/>
    <cellStyle name="Followed Hyperlink" xfId="5265" hidden="1" builtinId="9"/>
    <cellStyle name="Followed Hyperlink" xfId="5266" hidden="1" builtinId="9"/>
    <cellStyle name="Followed Hyperlink" xfId="5267" hidden="1" builtinId="9"/>
    <cellStyle name="Followed Hyperlink" xfId="5268" hidden="1" builtinId="9"/>
    <cellStyle name="Followed Hyperlink" xfId="5269" hidden="1" builtinId="9"/>
    <cellStyle name="Followed Hyperlink" xfId="5270" hidden="1" builtinId="9"/>
    <cellStyle name="Followed Hyperlink" xfId="5271" hidden="1" builtinId="9"/>
    <cellStyle name="Followed Hyperlink" xfId="5272" hidden="1" builtinId="9"/>
    <cellStyle name="Followed Hyperlink" xfId="5273" hidden="1" builtinId="9"/>
    <cellStyle name="Followed Hyperlink" xfId="5274" hidden="1" builtinId="9"/>
    <cellStyle name="Followed Hyperlink" xfId="5275" hidden="1" builtinId="9"/>
    <cellStyle name="Followed Hyperlink" xfId="5276" hidden="1" builtinId="9"/>
    <cellStyle name="Followed Hyperlink" xfId="5277" hidden="1" builtinId="9"/>
    <cellStyle name="Followed Hyperlink" xfId="5278" hidden="1" builtinId="9"/>
    <cellStyle name="Followed Hyperlink" xfId="5279" hidden="1" builtinId="9"/>
    <cellStyle name="Followed Hyperlink" xfId="5280" hidden="1" builtinId="9"/>
    <cellStyle name="Followed Hyperlink" xfId="5281" hidden="1" builtinId="9"/>
    <cellStyle name="Followed Hyperlink" xfId="5282" hidden="1" builtinId="9"/>
    <cellStyle name="Followed Hyperlink" xfId="5283" hidden="1" builtinId="9"/>
    <cellStyle name="Followed Hyperlink" xfId="5284" hidden="1" builtinId="9"/>
    <cellStyle name="Followed Hyperlink" xfId="5285" hidden="1" builtinId="9"/>
    <cellStyle name="Followed Hyperlink" xfId="5286" hidden="1" builtinId="9"/>
    <cellStyle name="Followed Hyperlink" xfId="5287" hidden="1" builtinId="9"/>
    <cellStyle name="Followed Hyperlink" xfId="5288" hidden="1" builtinId="9"/>
    <cellStyle name="Followed Hyperlink" xfId="5289" hidden="1" builtinId="9"/>
    <cellStyle name="Followed Hyperlink" xfId="5290" hidden="1" builtinId="9"/>
    <cellStyle name="Followed Hyperlink" xfId="5291" hidden="1" builtinId="9"/>
    <cellStyle name="Followed Hyperlink" xfId="5292" hidden="1" builtinId="9"/>
    <cellStyle name="Followed Hyperlink" xfId="5293" hidden="1" builtinId="9"/>
    <cellStyle name="Followed Hyperlink" xfId="5294" hidden="1" builtinId="9"/>
    <cellStyle name="Followed Hyperlink" xfId="5295" hidden="1" builtinId="9"/>
    <cellStyle name="Followed Hyperlink" xfId="5296" hidden="1" builtinId="9"/>
    <cellStyle name="Followed Hyperlink" xfId="5297" hidden="1" builtinId="9"/>
    <cellStyle name="Followed Hyperlink" xfId="5298" hidden="1" builtinId="9"/>
    <cellStyle name="Followed Hyperlink" xfId="5299" hidden="1" builtinId="9"/>
    <cellStyle name="Followed Hyperlink" xfId="5300" hidden="1" builtinId="9"/>
    <cellStyle name="Followed Hyperlink" xfId="5301" hidden="1" builtinId="9"/>
    <cellStyle name="Followed Hyperlink" xfId="5302" hidden="1" builtinId="9"/>
    <cellStyle name="Followed Hyperlink" xfId="5303" hidden="1" builtinId="9"/>
    <cellStyle name="Followed Hyperlink" xfId="5304" hidden="1" builtinId="9"/>
    <cellStyle name="Followed Hyperlink" xfId="5305" hidden="1" builtinId="9"/>
    <cellStyle name="Followed Hyperlink" xfId="5306" hidden="1" builtinId="9"/>
    <cellStyle name="Followed Hyperlink" xfId="5307" hidden="1" builtinId="9"/>
    <cellStyle name="Followed Hyperlink" xfId="5308" hidden="1" builtinId="9"/>
    <cellStyle name="Followed Hyperlink" xfId="5309" hidden="1" builtinId="9"/>
    <cellStyle name="Followed Hyperlink" xfId="5310" hidden="1" builtinId="9"/>
    <cellStyle name="Followed Hyperlink" xfId="5311" hidden="1" builtinId="9"/>
    <cellStyle name="Followed Hyperlink" xfId="5312" hidden="1" builtinId="9"/>
    <cellStyle name="Followed Hyperlink" xfId="5313" hidden="1" builtinId="9"/>
    <cellStyle name="Followed Hyperlink" xfId="5314" hidden="1" builtinId="9"/>
    <cellStyle name="Followed Hyperlink" xfId="5315" hidden="1" builtinId="9"/>
    <cellStyle name="Followed Hyperlink" xfId="5316" hidden="1" builtinId="9"/>
    <cellStyle name="Followed Hyperlink" xfId="5317" hidden="1" builtinId="9"/>
    <cellStyle name="Followed Hyperlink" xfId="5318" hidden="1" builtinId="9"/>
    <cellStyle name="Followed Hyperlink" xfId="5319" hidden="1" builtinId="9"/>
    <cellStyle name="Followed Hyperlink" xfId="5320" hidden="1" builtinId="9"/>
    <cellStyle name="Followed Hyperlink" xfId="5321" hidden="1" builtinId="9"/>
    <cellStyle name="Followed Hyperlink" xfId="5322" hidden="1" builtinId="9"/>
    <cellStyle name="Followed Hyperlink" xfId="5323" hidden="1" builtinId="9"/>
    <cellStyle name="Followed Hyperlink" xfId="5324" hidden="1" builtinId="9"/>
    <cellStyle name="Followed Hyperlink" xfId="5325" hidden="1" builtinId="9"/>
    <cellStyle name="Followed Hyperlink" xfId="5326" hidden="1" builtinId="9"/>
    <cellStyle name="Followed Hyperlink" xfId="5327" hidden="1" builtinId="9"/>
    <cellStyle name="Followed Hyperlink" xfId="5328" hidden="1" builtinId="9"/>
    <cellStyle name="Followed Hyperlink" xfId="5329" hidden="1" builtinId="9"/>
    <cellStyle name="Followed Hyperlink" xfId="5330" hidden="1" builtinId="9"/>
    <cellStyle name="Followed Hyperlink" xfId="5331" hidden="1" builtinId="9"/>
    <cellStyle name="Followed Hyperlink" xfId="5332" hidden="1" builtinId="9"/>
    <cellStyle name="Followed Hyperlink" xfId="5333" hidden="1" builtinId="9"/>
    <cellStyle name="Followed Hyperlink" xfId="5334" hidden="1" builtinId="9"/>
    <cellStyle name="Followed Hyperlink" xfId="5335" hidden="1" builtinId="9"/>
    <cellStyle name="Followed Hyperlink" xfId="5336" hidden="1" builtinId="9"/>
    <cellStyle name="Followed Hyperlink" xfId="5337" hidden="1" builtinId="9"/>
    <cellStyle name="Followed Hyperlink" xfId="5338" hidden="1" builtinId="9"/>
    <cellStyle name="Followed Hyperlink" xfId="5339" hidden="1" builtinId="9"/>
    <cellStyle name="Followed Hyperlink" xfId="5340" hidden="1" builtinId="9"/>
    <cellStyle name="Followed Hyperlink" xfId="5341" hidden="1" builtinId="9"/>
    <cellStyle name="Followed Hyperlink" xfId="5342" hidden="1" builtinId="9"/>
    <cellStyle name="Followed Hyperlink" xfId="5343" hidden="1" builtinId="9"/>
    <cellStyle name="Followed Hyperlink" xfId="5344" hidden="1" builtinId="9"/>
    <cellStyle name="Followed Hyperlink" xfId="5345" hidden="1" builtinId="9"/>
    <cellStyle name="Followed Hyperlink" xfId="5346" hidden="1" builtinId="9"/>
    <cellStyle name="Followed Hyperlink" xfId="5347" hidden="1" builtinId="9"/>
    <cellStyle name="Followed Hyperlink" xfId="5348" hidden="1" builtinId="9"/>
    <cellStyle name="Followed Hyperlink" xfId="5349" hidden="1" builtinId="9"/>
    <cellStyle name="Followed Hyperlink" xfId="5350" hidden="1" builtinId="9"/>
    <cellStyle name="Followed Hyperlink" xfId="5351" hidden="1" builtinId="9"/>
    <cellStyle name="Followed Hyperlink" xfId="5352" hidden="1" builtinId="9"/>
    <cellStyle name="Followed Hyperlink" xfId="5353" hidden="1" builtinId="9"/>
    <cellStyle name="Followed Hyperlink" xfId="5354" hidden="1" builtinId="9"/>
    <cellStyle name="Followed Hyperlink" xfId="5355" hidden="1" builtinId="9"/>
    <cellStyle name="Followed Hyperlink" xfId="5356" hidden="1" builtinId="9"/>
    <cellStyle name="Followed Hyperlink" xfId="5357" hidden="1" builtinId="9"/>
    <cellStyle name="Followed Hyperlink" xfId="5358" hidden="1" builtinId="9"/>
    <cellStyle name="Followed Hyperlink" xfId="5359" hidden="1" builtinId="9"/>
    <cellStyle name="Followed Hyperlink" xfId="5360" hidden="1" builtinId="9"/>
    <cellStyle name="Followed Hyperlink" xfId="5361" hidden="1" builtinId="9"/>
    <cellStyle name="Followed Hyperlink" xfId="5362" hidden="1" builtinId="9"/>
    <cellStyle name="Followed Hyperlink" xfId="5363" hidden="1" builtinId="9"/>
    <cellStyle name="Followed Hyperlink" xfId="5364" hidden="1" builtinId="9"/>
    <cellStyle name="Followed Hyperlink" xfId="5365" hidden="1" builtinId="9"/>
    <cellStyle name="Followed Hyperlink" xfId="5366" hidden="1" builtinId="9"/>
    <cellStyle name="Followed Hyperlink" xfId="5367" hidden="1" builtinId="9"/>
    <cellStyle name="Followed Hyperlink" xfId="5368" hidden="1" builtinId="9"/>
    <cellStyle name="Followed Hyperlink" xfId="5369" hidden="1" builtinId="9"/>
    <cellStyle name="Followed Hyperlink" xfId="5370" hidden="1" builtinId="9"/>
    <cellStyle name="Followed Hyperlink" xfId="5371" hidden="1" builtinId="9"/>
    <cellStyle name="Followed Hyperlink" xfId="5372" hidden="1" builtinId="9"/>
    <cellStyle name="Followed Hyperlink" xfId="5373" hidden="1" builtinId="9"/>
    <cellStyle name="Followed Hyperlink" xfId="5374" hidden="1" builtinId="9"/>
    <cellStyle name="Followed Hyperlink" xfId="5375" hidden="1" builtinId="9"/>
    <cellStyle name="Followed Hyperlink" xfId="5376" hidden="1" builtinId="9"/>
    <cellStyle name="Followed Hyperlink" xfId="5377" hidden="1" builtinId="9"/>
    <cellStyle name="Followed Hyperlink" xfId="5378" hidden="1" builtinId="9"/>
    <cellStyle name="Followed Hyperlink" xfId="5379" hidden="1" builtinId="9"/>
    <cellStyle name="Followed Hyperlink" xfId="5380" hidden="1" builtinId="9"/>
    <cellStyle name="Followed Hyperlink" xfId="5381" hidden="1" builtinId="9"/>
    <cellStyle name="Followed Hyperlink" xfId="5382" hidden="1" builtinId="9"/>
    <cellStyle name="Followed Hyperlink" xfId="5383" hidden="1" builtinId="9"/>
    <cellStyle name="Followed Hyperlink" xfId="5384" hidden="1" builtinId="9"/>
    <cellStyle name="Followed Hyperlink" xfId="5385" hidden="1" builtinId="9"/>
    <cellStyle name="Followed Hyperlink" xfId="5386" hidden="1" builtinId="9"/>
    <cellStyle name="Followed Hyperlink" xfId="5387" hidden="1" builtinId="9"/>
    <cellStyle name="Followed Hyperlink" xfId="5388" hidden="1" builtinId="9"/>
    <cellStyle name="Followed Hyperlink" xfId="5389" hidden="1" builtinId="9"/>
    <cellStyle name="Followed Hyperlink" xfId="5390" hidden="1" builtinId="9"/>
    <cellStyle name="Followed Hyperlink" xfId="5391" hidden="1" builtinId="9"/>
    <cellStyle name="Followed Hyperlink" xfId="5392" hidden="1" builtinId="9"/>
    <cellStyle name="Followed Hyperlink" xfId="5393" hidden="1" builtinId="9"/>
    <cellStyle name="Followed Hyperlink" xfId="5394" hidden="1" builtinId="9"/>
    <cellStyle name="Followed Hyperlink" xfId="5395" hidden="1" builtinId="9"/>
    <cellStyle name="Followed Hyperlink" xfId="5396" hidden="1" builtinId="9"/>
    <cellStyle name="Followed Hyperlink" xfId="5397" hidden="1" builtinId="9"/>
    <cellStyle name="Followed Hyperlink" xfId="5398" hidden="1" builtinId="9"/>
    <cellStyle name="Followed Hyperlink" xfId="5399" hidden="1" builtinId="9"/>
    <cellStyle name="Followed Hyperlink" xfId="5400" hidden="1" builtinId="9"/>
    <cellStyle name="Followed Hyperlink" xfId="5401" hidden="1" builtinId="9"/>
    <cellStyle name="Followed Hyperlink" xfId="5402" hidden="1" builtinId="9"/>
    <cellStyle name="Followed Hyperlink" xfId="5403" hidden="1" builtinId="9"/>
    <cellStyle name="Followed Hyperlink" xfId="5404" hidden="1" builtinId="9"/>
    <cellStyle name="Followed Hyperlink" xfId="5405" hidden="1" builtinId="9"/>
    <cellStyle name="Followed Hyperlink" xfId="5406" hidden="1" builtinId="9"/>
    <cellStyle name="Followed Hyperlink" xfId="5407" hidden="1" builtinId="9"/>
    <cellStyle name="Followed Hyperlink" xfId="5408" hidden="1" builtinId="9"/>
    <cellStyle name="Followed Hyperlink" xfId="5409" hidden="1" builtinId="9"/>
    <cellStyle name="Followed Hyperlink" xfId="5410" hidden="1" builtinId="9"/>
    <cellStyle name="Followed Hyperlink" xfId="5411" hidden="1" builtinId="9"/>
    <cellStyle name="Followed Hyperlink" xfId="5412" hidden="1" builtinId="9"/>
    <cellStyle name="Followed Hyperlink" xfId="5413" hidden="1" builtinId="9"/>
    <cellStyle name="Followed Hyperlink" xfId="5414" hidden="1" builtinId="9"/>
    <cellStyle name="Followed Hyperlink" xfId="5415" hidden="1" builtinId="9"/>
    <cellStyle name="Followed Hyperlink" xfId="5416" hidden="1" builtinId="9"/>
    <cellStyle name="Followed Hyperlink" xfId="5417" hidden="1" builtinId="9"/>
    <cellStyle name="Followed Hyperlink" xfId="5418" hidden="1" builtinId="9"/>
    <cellStyle name="Followed Hyperlink" xfId="5419" hidden="1" builtinId="9"/>
    <cellStyle name="Followed Hyperlink" xfId="5420" hidden="1" builtinId="9"/>
    <cellStyle name="Followed Hyperlink" xfId="5421" hidden="1" builtinId="9"/>
    <cellStyle name="Followed Hyperlink" xfId="5422" hidden="1" builtinId="9"/>
    <cellStyle name="Followed Hyperlink" xfId="5423" hidden="1" builtinId="9"/>
    <cellStyle name="Followed Hyperlink" xfId="5424" hidden="1" builtinId="9"/>
    <cellStyle name="Followed Hyperlink" xfId="5425" hidden="1" builtinId="9"/>
    <cellStyle name="Followed Hyperlink" xfId="5426" hidden="1" builtinId="9"/>
    <cellStyle name="Followed Hyperlink" xfId="5427" hidden="1" builtinId="9"/>
    <cellStyle name="Followed Hyperlink" xfId="5428" hidden="1" builtinId="9"/>
    <cellStyle name="Followed Hyperlink" xfId="5429" hidden="1" builtinId="9"/>
    <cellStyle name="Followed Hyperlink" xfId="5430" hidden="1" builtinId="9"/>
    <cellStyle name="Followed Hyperlink" xfId="5431" hidden="1" builtinId="9"/>
    <cellStyle name="Followed Hyperlink" xfId="5432" hidden="1" builtinId="9"/>
    <cellStyle name="Followed Hyperlink" xfId="5433" hidden="1" builtinId="9"/>
    <cellStyle name="Followed Hyperlink" xfId="5434" hidden="1" builtinId="9"/>
    <cellStyle name="Followed Hyperlink" xfId="5435" hidden="1" builtinId="9"/>
    <cellStyle name="Followed Hyperlink" xfId="5436" hidden="1" builtinId="9"/>
    <cellStyle name="Followed Hyperlink" xfId="5437" hidden="1" builtinId="9"/>
    <cellStyle name="Followed Hyperlink" xfId="5438" hidden="1" builtinId="9"/>
    <cellStyle name="Followed Hyperlink" xfId="5439" hidden="1" builtinId="9"/>
    <cellStyle name="Followed Hyperlink" xfId="5440" hidden="1" builtinId="9"/>
    <cellStyle name="Followed Hyperlink" xfId="5441" hidden="1" builtinId="9"/>
    <cellStyle name="Followed Hyperlink" xfId="5442" hidden="1" builtinId="9"/>
    <cellStyle name="Followed Hyperlink" xfId="5443" hidden="1" builtinId="9"/>
    <cellStyle name="Followed Hyperlink" xfId="5444" hidden="1" builtinId="9"/>
    <cellStyle name="Followed Hyperlink" xfId="5445" hidden="1" builtinId="9"/>
    <cellStyle name="Followed Hyperlink" xfId="5446" hidden="1" builtinId="9"/>
    <cellStyle name="Followed Hyperlink" xfId="5447" hidden="1" builtinId="9"/>
    <cellStyle name="Followed Hyperlink" xfId="5448" hidden="1" builtinId="9"/>
    <cellStyle name="Followed Hyperlink" xfId="5449" hidden="1" builtinId="9"/>
    <cellStyle name="Followed Hyperlink" xfId="5450" hidden="1" builtinId="9"/>
    <cellStyle name="Followed Hyperlink" xfId="5451" hidden="1" builtinId="9"/>
    <cellStyle name="Followed Hyperlink" xfId="5452" hidden="1" builtinId="9"/>
    <cellStyle name="Followed Hyperlink" xfId="5453" hidden="1" builtinId="9"/>
    <cellStyle name="Followed Hyperlink" xfId="5454" hidden="1" builtinId="9"/>
    <cellStyle name="Followed Hyperlink" xfId="5455" hidden="1" builtinId="9"/>
    <cellStyle name="Followed Hyperlink" xfId="5456" hidden="1" builtinId="9"/>
    <cellStyle name="Followed Hyperlink" xfId="5457" hidden="1" builtinId="9"/>
    <cellStyle name="Followed Hyperlink" xfId="5458" hidden="1" builtinId="9"/>
    <cellStyle name="Followed Hyperlink" xfId="5459" hidden="1" builtinId="9"/>
    <cellStyle name="Followed Hyperlink" xfId="5460" hidden="1" builtinId="9"/>
    <cellStyle name="Followed Hyperlink" xfId="5461" hidden="1" builtinId="9"/>
    <cellStyle name="Followed Hyperlink" xfId="5462" hidden="1" builtinId="9"/>
    <cellStyle name="Followed Hyperlink" xfId="5463" hidden="1" builtinId="9"/>
    <cellStyle name="Followed Hyperlink" xfId="5464" hidden="1" builtinId="9"/>
    <cellStyle name="Followed Hyperlink" xfId="5465" hidden="1" builtinId="9"/>
    <cellStyle name="Followed Hyperlink" xfId="5466" hidden="1" builtinId="9"/>
    <cellStyle name="Followed Hyperlink" xfId="5467" hidden="1" builtinId="9"/>
    <cellStyle name="Followed Hyperlink" xfId="5468" hidden="1" builtinId="9"/>
    <cellStyle name="Followed Hyperlink" xfId="5469" hidden="1" builtinId="9"/>
    <cellStyle name="Followed Hyperlink" xfId="5470" hidden="1" builtinId="9"/>
    <cellStyle name="Followed Hyperlink" xfId="5471" hidden="1" builtinId="9"/>
    <cellStyle name="Followed Hyperlink" xfId="5472" hidden="1" builtinId="9"/>
    <cellStyle name="Followed Hyperlink" xfId="5473" hidden="1" builtinId="9"/>
    <cellStyle name="Followed Hyperlink" xfId="5474" hidden="1" builtinId="9"/>
    <cellStyle name="Followed Hyperlink" xfId="5475" hidden="1" builtinId="9"/>
    <cellStyle name="Followed Hyperlink" xfId="5476" hidden="1" builtinId="9"/>
    <cellStyle name="Followed Hyperlink" xfId="5477" hidden="1" builtinId="9"/>
    <cellStyle name="Followed Hyperlink" xfId="5478" hidden="1" builtinId="9"/>
    <cellStyle name="Followed Hyperlink" xfId="5479" hidden="1" builtinId="9"/>
    <cellStyle name="Followed Hyperlink" xfId="5480" hidden="1" builtinId="9"/>
    <cellStyle name="Followed Hyperlink" xfId="5481" hidden="1" builtinId="9"/>
    <cellStyle name="Followed Hyperlink" xfId="5482" hidden="1" builtinId="9"/>
    <cellStyle name="Followed Hyperlink" xfId="5483" hidden="1" builtinId="9"/>
    <cellStyle name="Followed Hyperlink" xfId="5484" hidden="1" builtinId="9"/>
    <cellStyle name="Followed Hyperlink" xfId="5485" hidden="1" builtinId="9"/>
    <cellStyle name="Followed Hyperlink" xfId="5486" hidden="1" builtinId="9"/>
    <cellStyle name="Followed Hyperlink" xfId="5487" hidden="1" builtinId="9"/>
    <cellStyle name="Followed Hyperlink" xfId="5488" hidden="1" builtinId="9"/>
    <cellStyle name="Followed Hyperlink" xfId="5489" hidden="1" builtinId="9"/>
    <cellStyle name="Followed Hyperlink" xfId="5490" hidden="1" builtinId="9"/>
    <cellStyle name="Followed Hyperlink" xfId="5491" hidden="1" builtinId="9"/>
    <cellStyle name="Followed Hyperlink" xfId="5492" hidden="1" builtinId="9"/>
    <cellStyle name="Followed Hyperlink" xfId="5493" hidden="1" builtinId="9"/>
    <cellStyle name="Followed Hyperlink" xfId="5494" hidden="1" builtinId="9"/>
    <cellStyle name="Followed Hyperlink" xfId="5495" hidden="1" builtinId="9"/>
    <cellStyle name="Followed Hyperlink" xfId="5496" hidden="1" builtinId="9"/>
    <cellStyle name="Followed Hyperlink" xfId="5497" hidden="1" builtinId="9"/>
    <cellStyle name="Followed Hyperlink" xfId="5498" hidden="1" builtinId="9"/>
    <cellStyle name="Followed Hyperlink" xfId="5499" hidden="1" builtinId="9"/>
    <cellStyle name="Followed Hyperlink" xfId="5500" hidden="1" builtinId="9"/>
    <cellStyle name="Followed Hyperlink" xfId="5501" hidden="1" builtinId="9"/>
    <cellStyle name="Followed Hyperlink" xfId="5502" hidden="1" builtinId="9"/>
    <cellStyle name="Followed Hyperlink" xfId="5503" hidden="1" builtinId="9"/>
    <cellStyle name="Followed Hyperlink" xfId="5504" hidden="1" builtinId="9"/>
    <cellStyle name="Followed Hyperlink" xfId="5505" hidden="1" builtinId="9"/>
    <cellStyle name="Followed Hyperlink" xfId="5506" hidden="1" builtinId="9"/>
    <cellStyle name="Followed Hyperlink" xfId="5507" hidden="1" builtinId="9"/>
    <cellStyle name="Followed Hyperlink" xfId="5508" hidden="1" builtinId="9"/>
    <cellStyle name="Followed Hyperlink" xfId="5509" hidden="1" builtinId="9"/>
    <cellStyle name="Followed Hyperlink" xfId="5510" hidden="1" builtinId="9"/>
    <cellStyle name="Followed Hyperlink" xfId="5511" hidden="1" builtinId="9"/>
    <cellStyle name="Followed Hyperlink" xfId="5512" hidden="1" builtinId="9"/>
    <cellStyle name="Followed Hyperlink" xfId="5513" hidden="1" builtinId="9"/>
    <cellStyle name="Followed Hyperlink" xfId="5514" hidden="1" builtinId="9"/>
    <cellStyle name="Followed Hyperlink" xfId="5515" hidden="1" builtinId="9"/>
    <cellStyle name="Followed Hyperlink" xfId="5516" hidden="1" builtinId="9"/>
    <cellStyle name="Followed Hyperlink" xfId="5517" hidden="1" builtinId="9"/>
    <cellStyle name="Followed Hyperlink" xfId="5518" hidden="1" builtinId="9"/>
    <cellStyle name="Followed Hyperlink" xfId="5519" hidden="1" builtinId="9"/>
    <cellStyle name="Followed Hyperlink" xfId="5520" hidden="1" builtinId="9"/>
    <cellStyle name="Followed Hyperlink" xfId="5521" hidden="1" builtinId="9"/>
    <cellStyle name="Followed Hyperlink" xfId="5522" hidden="1" builtinId="9"/>
    <cellStyle name="Followed Hyperlink" xfId="5523" hidden="1" builtinId="9"/>
    <cellStyle name="Followed Hyperlink" xfId="5524" hidden="1" builtinId="9"/>
    <cellStyle name="Followed Hyperlink" xfId="5525" hidden="1" builtinId="9"/>
    <cellStyle name="Followed Hyperlink" xfId="5526" hidden="1" builtinId="9"/>
    <cellStyle name="Followed Hyperlink" xfId="5527" hidden="1" builtinId="9"/>
    <cellStyle name="Followed Hyperlink" xfId="5528" hidden="1" builtinId="9"/>
    <cellStyle name="Followed Hyperlink" xfId="5529" hidden="1" builtinId="9"/>
    <cellStyle name="Followed Hyperlink" xfId="5530" hidden="1" builtinId="9"/>
    <cellStyle name="Followed Hyperlink" xfId="5531" hidden="1" builtinId="9"/>
    <cellStyle name="Followed Hyperlink" xfId="5532" hidden="1" builtinId="9"/>
    <cellStyle name="Followed Hyperlink" xfId="5533" hidden="1" builtinId="9"/>
    <cellStyle name="Followed Hyperlink" xfId="5534" hidden="1" builtinId="9"/>
    <cellStyle name="Followed Hyperlink" xfId="5535" hidden="1" builtinId="9"/>
    <cellStyle name="Followed Hyperlink" xfId="5536" hidden="1" builtinId="9"/>
    <cellStyle name="Followed Hyperlink" xfId="5537" hidden="1" builtinId="9"/>
    <cellStyle name="Followed Hyperlink" xfId="5538" hidden="1" builtinId="9"/>
    <cellStyle name="Followed Hyperlink" xfId="5539" hidden="1" builtinId="9"/>
    <cellStyle name="Followed Hyperlink" xfId="5540" hidden="1" builtinId="9"/>
    <cellStyle name="Followed Hyperlink" xfId="5541" hidden="1" builtinId="9"/>
    <cellStyle name="Followed Hyperlink" xfId="5542" hidden="1" builtinId="9"/>
    <cellStyle name="Followed Hyperlink" xfId="5543" hidden="1" builtinId="9"/>
    <cellStyle name="Followed Hyperlink" xfId="5544" hidden="1" builtinId="9"/>
    <cellStyle name="Followed Hyperlink" xfId="5545" hidden="1" builtinId="9"/>
    <cellStyle name="Followed Hyperlink" xfId="5546" hidden="1" builtinId="9"/>
    <cellStyle name="Followed Hyperlink" xfId="5547" hidden="1" builtinId="9"/>
    <cellStyle name="Followed Hyperlink" xfId="5548" hidden="1" builtinId="9"/>
    <cellStyle name="Followed Hyperlink" xfId="5549" hidden="1" builtinId="9"/>
    <cellStyle name="Followed Hyperlink" xfId="5550" hidden="1" builtinId="9"/>
    <cellStyle name="Followed Hyperlink" xfId="5551" hidden="1" builtinId="9"/>
    <cellStyle name="Followed Hyperlink" xfId="5552" hidden="1" builtinId="9"/>
    <cellStyle name="Followed Hyperlink" xfId="5553" hidden="1" builtinId="9"/>
    <cellStyle name="Followed Hyperlink" xfId="5554" hidden="1" builtinId="9"/>
    <cellStyle name="Followed Hyperlink" xfId="5555" hidden="1" builtinId="9"/>
    <cellStyle name="Followed Hyperlink" xfId="5556" hidden="1" builtinId="9"/>
    <cellStyle name="Followed Hyperlink" xfId="5557" hidden="1" builtinId="9"/>
    <cellStyle name="Followed Hyperlink" xfId="5558" hidden="1" builtinId="9"/>
    <cellStyle name="Followed Hyperlink" xfId="5559" hidden="1" builtinId="9"/>
    <cellStyle name="Followed Hyperlink" xfId="5560" hidden="1" builtinId="9"/>
    <cellStyle name="Followed Hyperlink" xfId="5561" hidden="1" builtinId="9"/>
    <cellStyle name="Followed Hyperlink" xfId="5562" hidden="1" builtinId="9"/>
    <cellStyle name="Followed Hyperlink" xfId="5563" hidden="1" builtinId="9"/>
    <cellStyle name="Followed Hyperlink" xfId="5564" hidden="1" builtinId="9"/>
    <cellStyle name="Followed Hyperlink" xfId="5565" hidden="1" builtinId="9"/>
    <cellStyle name="Followed Hyperlink" xfId="5566" hidden="1" builtinId="9"/>
    <cellStyle name="Followed Hyperlink" xfId="5567" hidden="1" builtinId="9"/>
    <cellStyle name="Followed Hyperlink" xfId="5568" hidden="1" builtinId="9"/>
    <cellStyle name="Followed Hyperlink" xfId="5569" hidden="1" builtinId="9"/>
    <cellStyle name="Followed Hyperlink" xfId="5570" hidden="1" builtinId="9"/>
    <cellStyle name="Followed Hyperlink" xfId="5571" hidden="1" builtinId="9"/>
    <cellStyle name="Followed Hyperlink" xfId="5572" hidden="1" builtinId="9"/>
    <cellStyle name="Followed Hyperlink" xfId="5573" hidden="1" builtinId="9"/>
    <cellStyle name="Followed Hyperlink" xfId="5574" hidden="1" builtinId="9"/>
    <cellStyle name="Followed Hyperlink" xfId="5575" hidden="1" builtinId="9"/>
    <cellStyle name="Followed Hyperlink" xfId="5576" hidden="1" builtinId="9"/>
    <cellStyle name="Followed Hyperlink" xfId="5577" hidden="1" builtinId="9"/>
    <cellStyle name="Followed Hyperlink" xfId="5578" hidden="1" builtinId="9"/>
    <cellStyle name="Followed Hyperlink" xfId="5579" hidden="1" builtinId="9"/>
    <cellStyle name="Followed Hyperlink" xfId="5580" hidden="1" builtinId="9"/>
    <cellStyle name="Followed Hyperlink" xfId="5581" hidden="1" builtinId="9"/>
    <cellStyle name="Followed Hyperlink" xfId="5582" hidden="1" builtinId="9"/>
    <cellStyle name="Followed Hyperlink" xfId="5583" hidden="1" builtinId="9"/>
    <cellStyle name="Followed Hyperlink" xfId="5584" hidden="1" builtinId="9"/>
    <cellStyle name="Followed Hyperlink" xfId="5585" hidden="1" builtinId="9"/>
    <cellStyle name="Followed Hyperlink" xfId="5586" hidden="1" builtinId="9"/>
    <cellStyle name="Followed Hyperlink" xfId="5587" hidden="1" builtinId="9"/>
    <cellStyle name="Followed Hyperlink" xfId="5588" hidden="1" builtinId="9"/>
    <cellStyle name="Followed Hyperlink" xfId="5589" hidden="1" builtinId="9"/>
    <cellStyle name="Followed Hyperlink" xfId="5590" hidden="1" builtinId="9"/>
    <cellStyle name="Followed Hyperlink" xfId="5591" hidden="1" builtinId="9"/>
    <cellStyle name="Followed Hyperlink" xfId="5592" hidden="1" builtinId="9"/>
    <cellStyle name="Followed Hyperlink" xfId="5593" hidden="1" builtinId="9"/>
    <cellStyle name="Followed Hyperlink" xfId="5594" hidden="1" builtinId="9"/>
    <cellStyle name="Followed Hyperlink" xfId="5595" hidden="1" builtinId="9"/>
    <cellStyle name="Followed Hyperlink" xfId="5596" hidden="1" builtinId="9"/>
    <cellStyle name="Followed Hyperlink" xfId="5597" hidden="1" builtinId="9"/>
    <cellStyle name="Followed Hyperlink" xfId="5598" hidden="1" builtinId="9"/>
    <cellStyle name="Followed Hyperlink" xfId="5599" hidden="1" builtinId="9"/>
    <cellStyle name="Followed Hyperlink" xfId="5600" hidden="1" builtinId="9"/>
    <cellStyle name="Followed Hyperlink" xfId="5601" hidden="1" builtinId="9"/>
    <cellStyle name="Followed Hyperlink" xfId="5602" hidden="1" builtinId="9"/>
    <cellStyle name="Followed Hyperlink" xfId="5603" hidden="1" builtinId="9"/>
    <cellStyle name="Followed Hyperlink" xfId="5604" hidden="1" builtinId="9"/>
    <cellStyle name="Followed Hyperlink" xfId="5605" hidden="1" builtinId="9"/>
    <cellStyle name="Followed Hyperlink" xfId="5606" hidden="1" builtinId="9"/>
    <cellStyle name="Followed Hyperlink" xfId="5607" hidden="1" builtinId="9"/>
    <cellStyle name="Followed Hyperlink" xfId="5608" hidden="1" builtinId="9"/>
    <cellStyle name="Followed Hyperlink" xfId="5609" hidden="1" builtinId="9"/>
    <cellStyle name="Followed Hyperlink" xfId="5610" hidden="1" builtinId="9"/>
    <cellStyle name="Followed Hyperlink" xfId="5611" hidden="1" builtinId="9"/>
    <cellStyle name="Followed Hyperlink" xfId="5612" hidden="1" builtinId="9"/>
    <cellStyle name="Followed Hyperlink" xfId="5613" hidden="1" builtinId="9"/>
    <cellStyle name="Followed Hyperlink" xfId="5614" hidden="1" builtinId="9"/>
    <cellStyle name="Followed Hyperlink" xfId="5615" hidden="1" builtinId="9"/>
    <cellStyle name="Followed Hyperlink" xfId="5616" hidden="1" builtinId="9"/>
    <cellStyle name="Followed Hyperlink" xfId="5617" hidden="1" builtinId="9"/>
    <cellStyle name="Followed Hyperlink" xfId="5618" hidden="1" builtinId="9"/>
    <cellStyle name="Followed Hyperlink" xfId="5619" hidden="1" builtinId="9"/>
    <cellStyle name="Followed Hyperlink" xfId="5620" hidden="1" builtinId="9"/>
    <cellStyle name="Followed Hyperlink" xfId="5621" hidden="1" builtinId="9"/>
    <cellStyle name="Followed Hyperlink" xfId="5622" hidden="1" builtinId="9"/>
    <cellStyle name="Followed Hyperlink" xfId="5623" hidden="1" builtinId="9"/>
    <cellStyle name="Followed Hyperlink" xfId="5624" hidden="1" builtinId="9"/>
    <cellStyle name="Followed Hyperlink" xfId="5625" hidden="1" builtinId="9"/>
    <cellStyle name="Followed Hyperlink" xfId="5626" hidden="1" builtinId="9"/>
    <cellStyle name="Followed Hyperlink" xfId="5627" hidden="1" builtinId="9"/>
    <cellStyle name="Followed Hyperlink" xfId="5628" hidden="1" builtinId="9"/>
    <cellStyle name="Followed Hyperlink" xfId="5629" hidden="1" builtinId="9"/>
    <cellStyle name="Followed Hyperlink" xfId="5630" hidden="1" builtinId="9"/>
    <cellStyle name="Followed Hyperlink" xfId="5631" hidden="1" builtinId="9"/>
    <cellStyle name="Followed Hyperlink" xfId="5632" hidden="1" builtinId="9"/>
    <cellStyle name="Followed Hyperlink" xfId="5633" hidden="1" builtinId="9"/>
    <cellStyle name="Followed Hyperlink" xfId="5634" hidden="1" builtinId="9"/>
    <cellStyle name="Followed Hyperlink" xfId="5635" hidden="1" builtinId="9"/>
    <cellStyle name="Followed Hyperlink" xfId="5636" hidden="1" builtinId="9"/>
    <cellStyle name="Followed Hyperlink" xfId="5637" hidden="1" builtinId="9"/>
    <cellStyle name="Followed Hyperlink" xfId="5638" hidden="1" builtinId="9"/>
    <cellStyle name="Followed Hyperlink" xfId="5639" hidden="1" builtinId="9"/>
    <cellStyle name="Followed Hyperlink" xfId="5640" hidden="1" builtinId="9"/>
    <cellStyle name="Followed Hyperlink" xfId="5641" hidden="1" builtinId="9"/>
    <cellStyle name="Followed Hyperlink" xfId="5642" hidden="1" builtinId="9"/>
    <cellStyle name="Followed Hyperlink" xfId="5643" hidden="1" builtinId="9"/>
    <cellStyle name="Followed Hyperlink" xfId="5644" hidden="1" builtinId="9"/>
    <cellStyle name="Followed Hyperlink" xfId="5645" hidden="1" builtinId="9"/>
    <cellStyle name="Followed Hyperlink" xfId="5646" hidden="1" builtinId="9"/>
    <cellStyle name="Followed Hyperlink" xfId="5647" hidden="1" builtinId="9"/>
    <cellStyle name="Followed Hyperlink" xfId="5648" hidden="1" builtinId="9"/>
    <cellStyle name="Followed Hyperlink" xfId="5649" hidden="1" builtinId="9"/>
    <cellStyle name="Followed Hyperlink" xfId="5650" hidden="1" builtinId="9"/>
    <cellStyle name="Followed Hyperlink" xfId="5651" hidden="1" builtinId="9"/>
    <cellStyle name="Followed Hyperlink" xfId="5652" hidden="1" builtinId="9"/>
    <cellStyle name="Followed Hyperlink" xfId="5653" hidden="1" builtinId="9"/>
    <cellStyle name="Followed Hyperlink" xfId="5654" hidden="1" builtinId="9"/>
    <cellStyle name="Followed Hyperlink" xfId="5655" hidden="1" builtinId="9"/>
    <cellStyle name="Followed Hyperlink" xfId="5656" hidden="1" builtinId="9"/>
    <cellStyle name="Followed Hyperlink" xfId="5657" hidden="1" builtinId="9"/>
    <cellStyle name="Followed Hyperlink" xfId="5658" hidden="1" builtinId="9"/>
    <cellStyle name="Followed Hyperlink" xfId="5659" hidden="1" builtinId="9"/>
    <cellStyle name="Followed Hyperlink" xfId="5660" hidden="1" builtinId="9"/>
    <cellStyle name="Followed Hyperlink" xfId="5661" hidden="1" builtinId="9"/>
    <cellStyle name="Followed Hyperlink" xfId="5662" hidden="1" builtinId="9"/>
    <cellStyle name="Followed Hyperlink" xfId="5663" hidden="1" builtinId="9"/>
    <cellStyle name="Followed Hyperlink" xfId="5664" hidden="1" builtinId="9"/>
    <cellStyle name="Followed Hyperlink" xfId="5665" hidden="1" builtinId="9"/>
    <cellStyle name="Followed Hyperlink" xfId="5666" hidden="1" builtinId="9"/>
    <cellStyle name="Followed Hyperlink" xfId="5667" hidden="1" builtinId="9"/>
    <cellStyle name="Followed Hyperlink" xfId="5668" hidden="1" builtinId="9"/>
    <cellStyle name="Followed Hyperlink" xfId="5669" hidden="1" builtinId="9"/>
    <cellStyle name="Followed Hyperlink" xfId="5670" hidden="1" builtinId="9"/>
    <cellStyle name="Followed Hyperlink" xfId="5671" hidden="1" builtinId="9"/>
    <cellStyle name="Followed Hyperlink" xfId="5672" hidden="1" builtinId="9"/>
    <cellStyle name="Followed Hyperlink" xfId="5673" hidden="1" builtinId="9"/>
    <cellStyle name="Followed Hyperlink" xfId="5674" hidden="1" builtinId="9"/>
    <cellStyle name="Followed Hyperlink" xfId="5675" hidden="1" builtinId="9"/>
    <cellStyle name="Followed Hyperlink" xfId="5676" hidden="1" builtinId="9"/>
    <cellStyle name="Followed Hyperlink" xfId="5677" hidden="1" builtinId="9"/>
    <cellStyle name="Followed Hyperlink" xfId="5678" hidden="1" builtinId="9"/>
    <cellStyle name="Followed Hyperlink" xfId="5679" hidden="1" builtinId="9"/>
    <cellStyle name="Followed Hyperlink" xfId="5680" hidden="1" builtinId="9"/>
    <cellStyle name="Followed Hyperlink" xfId="5681" hidden="1" builtinId="9"/>
    <cellStyle name="Followed Hyperlink" xfId="5682" hidden="1" builtinId="9"/>
    <cellStyle name="Followed Hyperlink" xfId="5683" hidden="1" builtinId="9"/>
    <cellStyle name="Followed Hyperlink" xfId="5684" hidden="1" builtinId="9"/>
    <cellStyle name="Followed Hyperlink" xfId="5685" hidden="1" builtinId="9"/>
    <cellStyle name="Followed Hyperlink" xfId="5686" hidden="1" builtinId="9"/>
    <cellStyle name="Followed Hyperlink" xfId="5687" hidden="1" builtinId="9"/>
    <cellStyle name="Followed Hyperlink" xfId="5688" hidden="1" builtinId="9"/>
    <cellStyle name="Followed Hyperlink" xfId="5689" hidden="1" builtinId="9"/>
    <cellStyle name="Followed Hyperlink" xfId="5690" hidden="1" builtinId="9"/>
    <cellStyle name="Followed Hyperlink" xfId="5691" hidden="1" builtinId="9"/>
    <cellStyle name="Followed Hyperlink" xfId="5692" hidden="1" builtinId="9"/>
    <cellStyle name="Followed Hyperlink" xfId="5693" hidden="1" builtinId="9"/>
    <cellStyle name="Followed Hyperlink" xfId="5694" hidden="1" builtinId="9"/>
    <cellStyle name="Followed Hyperlink" xfId="5695" hidden="1" builtinId="9"/>
    <cellStyle name="Followed Hyperlink" xfId="5696" hidden="1" builtinId="9"/>
    <cellStyle name="Followed Hyperlink" xfId="5697" hidden="1" builtinId="9"/>
    <cellStyle name="Followed Hyperlink" xfId="5698" hidden="1" builtinId="9"/>
    <cellStyle name="Followed Hyperlink" xfId="5699" hidden="1" builtinId="9"/>
    <cellStyle name="Followed Hyperlink" xfId="5700" hidden="1" builtinId="9"/>
    <cellStyle name="A% 2" xfId="5701"/>
    <cellStyle name="Acinput 2" xfId="5702"/>
    <cellStyle name="Acinput,, 2" xfId="5703"/>
    <cellStyle name="Acoutput 2" xfId="5704"/>
    <cellStyle name="Acoutput,, 2" xfId="5705"/>
    <cellStyle name="Apershare 2" xfId="5706"/>
    <cellStyle name="Aprice 2" xfId="5707"/>
    <cellStyle name="Band 2 2" xfId="5708"/>
    <cellStyle name="Bold/Border 2" xfId="5709"/>
    <cellStyle name="Border, Bottom 2" xfId="5710"/>
    <cellStyle name="Border, Left 2" xfId="5711"/>
    <cellStyle name="Date [mm-d-yyyy] 2" xfId="5712"/>
    <cellStyle name="Date [mmm-yyyy] 2" xfId="5713"/>
    <cellStyle name="fact 2" xfId="5714"/>
    <cellStyle name="Line 2" xfId="5715"/>
    <cellStyle name="m/d/yy 2" xfId="5716"/>
    <cellStyle name="Followed Hyperlink" xfId="5717" hidden="1" builtinId="9"/>
    <cellStyle name="Followed Hyperlink" xfId="5718" hidden="1" builtinId="9"/>
    <cellStyle name="Followed Hyperlink" xfId="5719" hidden="1" builtinId="9"/>
    <cellStyle name="Followed Hyperlink" xfId="5720" hidden="1" builtinId="9"/>
    <cellStyle name="Followed Hyperlink" xfId="5721" hidden="1" builtinId="9"/>
    <cellStyle name="Followed Hyperlink" xfId="5722" hidden="1" builtinId="9"/>
    <cellStyle name="Followed Hyperlink" xfId="5723" hidden="1" builtinId="9"/>
    <cellStyle name="Followed Hyperlink" xfId="5724" hidden="1" builtinId="9"/>
    <cellStyle name="Followed Hyperlink" xfId="5725" hidden="1" builtinId="9"/>
    <cellStyle name="Followed Hyperlink" xfId="5726" hidden="1" builtinId="9"/>
    <cellStyle name="Followed Hyperlink" xfId="5727" hidden="1" builtinId="9"/>
    <cellStyle name="Followed Hyperlink" xfId="5728" hidden="1" builtinId="9"/>
    <cellStyle name="Followed Hyperlink" xfId="5729" hidden="1" builtinId="9"/>
    <cellStyle name="Followed Hyperlink" xfId="5730" hidden="1" builtinId="9"/>
    <cellStyle name="Followed Hyperlink" xfId="5731" hidden="1" builtinId="9"/>
    <cellStyle name="Followed Hyperlink" xfId="5732" hidden="1" builtinId="9"/>
    <cellStyle name="Followed Hyperlink" xfId="5733" hidden="1" builtinId="9"/>
    <cellStyle name="Followed Hyperlink" xfId="5734" hidden="1" builtinId="9"/>
    <cellStyle name="Followed Hyperlink" xfId="5735" hidden="1" builtinId="9"/>
    <cellStyle name="Followed Hyperlink" xfId="5736" hidden="1" builtinId="9"/>
    <cellStyle name="Followed Hyperlink" xfId="5737" hidden="1" builtinId="9"/>
    <cellStyle name="Followed Hyperlink" xfId="5738" hidden="1" builtinId="9"/>
    <cellStyle name="Followed Hyperlink" xfId="5739" hidden="1" builtinId="9"/>
    <cellStyle name="Followed Hyperlink" xfId="5740" hidden="1" builtinId="9"/>
    <cellStyle name="Followed Hyperlink" xfId="5741" hidden="1" builtinId="9"/>
    <cellStyle name="Followed Hyperlink" xfId="5742" hidden="1" builtinId="9"/>
    <cellStyle name="Followed Hyperlink" xfId="5743" hidden="1" builtinId="9"/>
    <cellStyle name="Followed Hyperlink" xfId="5744" hidden="1" builtinId="9"/>
    <cellStyle name="Followed Hyperlink" xfId="5745" hidden="1" builtinId="9"/>
    <cellStyle name="Followed Hyperlink" xfId="5746" hidden="1" builtinId="9"/>
    <cellStyle name="Followed Hyperlink" xfId="5747" hidden="1" builtinId="9"/>
    <cellStyle name="Followed Hyperlink" xfId="5748" hidden="1" builtinId="9"/>
    <cellStyle name="Followed Hyperlink" xfId="5749" hidden="1" builtinId="9"/>
    <cellStyle name="Followed Hyperlink" xfId="5750" hidden="1" builtinId="9"/>
    <cellStyle name="Followed Hyperlink" xfId="5751" hidden="1" builtinId="9"/>
    <cellStyle name="Followed Hyperlink" xfId="5752" hidden="1" builtinId="9"/>
    <cellStyle name="Followed Hyperlink" xfId="5753" hidden="1" builtinId="9"/>
    <cellStyle name="Followed Hyperlink" xfId="5754" hidden="1" builtinId="9"/>
    <cellStyle name="Followed Hyperlink" xfId="5755" hidden="1" builtinId="9"/>
    <cellStyle name="Followed Hyperlink" xfId="5756" hidden="1" builtinId="9"/>
    <cellStyle name="Followed Hyperlink" xfId="5757" hidden="1" builtinId="9"/>
    <cellStyle name="Followed Hyperlink" xfId="5758" hidden="1" builtinId="9"/>
    <cellStyle name="Followed Hyperlink" xfId="5759" hidden="1" builtinId="9"/>
    <cellStyle name="Followed Hyperlink" xfId="5760" hidden="1" builtinId="9"/>
    <cellStyle name="Followed Hyperlink" xfId="5761" hidden="1" builtinId="9"/>
    <cellStyle name="Followed Hyperlink" xfId="5762" hidden="1" builtinId="9"/>
    <cellStyle name="Followed Hyperlink" xfId="5763" hidden="1" builtinId="9"/>
    <cellStyle name="Followed Hyperlink" xfId="5764" hidden="1" builtinId="9"/>
    <cellStyle name="Followed Hyperlink" xfId="5765" hidden="1" builtinId="9"/>
    <cellStyle name="Followed Hyperlink" xfId="5766" hidden="1" builtinId="9"/>
    <cellStyle name="Followed Hyperlink" xfId="5767" hidden="1" builtinId="9"/>
    <cellStyle name="Followed Hyperlink" xfId="5768" hidden="1" builtinId="9"/>
    <cellStyle name="Followed Hyperlink" xfId="5769" hidden="1" builtinId="9"/>
    <cellStyle name="Followed Hyperlink" xfId="5770" hidden="1" builtinId="9"/>
    <cellStyle name="Followed Hyperlink" xfId="5771" hidden="1" builtinId="9"/>
    <cellStyle name="Followed Hyperlink" xfId="5772" hidden="1" builtinId="9"/>
    <cellStyle name="Followed Hyperlink" xfId="5773" hidden="1" builtinId="9"/>
    <cellStyle name="Followed Hyperlink" xfId="5774" hidden="1" builtinId="9"/>
    <cellStyle name="Followed Hyperlink" xfId="5775" hidden="1" builtinId="9"/>
    <cellStyle name="Followed Hyperlink" xfId="5776" hidden="1" builtinId="9"/>
    <cellStyle name="Followed Hyperlink" xfId="5777" hidden="1" builtinId="9"/>
    <cellStyle name="Followed Hyperlink" xfId="5778" hidden="1" builtinId="9"/>
    <cellStyle name="Followed Hyperlink" xfId="5779" hidden="1" builtinId="9"/>
    <cellStyle name="Followed Hyperlink" xfId="5780" hidden="1" builtinId="9"/>
    <cellStyle name="Followed Hyperlink" xfId="5781" hidden="1" builtinId="9"/>
    <cellStyle name="Followed Hyperlink" xfId="5782" hidden="1" builtinId="9"/>
    <cellStyle name="Followed Hyperlink" xfId="5783" hidden="1" builtinId="9"/>
    <cellStyle name="Followed Hyperlink" xfId="5784" hidden="1" builtinId="9"/>
    <cellStyle name="Followed Hyperlink" xfId="5785" hidden="1" builtinId="9"/>
    <cellStyle name="Followed Hyperlink" xfId="5786" hidden="1" builtinId="9"/>
    <cellStyle name="Followed Hyperlink" xfId="5787" hidden="1" builtinId="9"/>
    <cellStyle name="Followed Hyperlink" xfId="5788" hidden="1" builtinId="9"/>
    <cellStyle name="Followed Hyperlink" xfId="5789" hidden="1" builtinId="9"/>
    <cellStyle name="Followed Hyperlink" xfId="5790" hidden="1" builtinId="9"/>
    <cellStyle name="Followed Hyperlink" xfId="5791" hidden="1" builtinId="9"/>
    <cellStyle name="Followed Hyperlink" xfId="5792" hidden="1" builtinId="9"/>
    <cellStyle name="Followed Hyperlink" xfId="5793" hidden="1" builtinId="9"/>
    <cellStyle name="Followed Hyperlink" xfId="5794" hidden="1" builtinId="9"/>
    <cellStyle name="Followed Hyperlink" xfId="5795" hidden="1" builtinId="9"/>
    <cellStyle name="Followed Hyperlink" xfId="5796" hidden="1" builtinId="9"/>
    <cellStyle name="Followed Hyperlink" xfId="5797" hidden="1" builtinId="9"/>
    <cellStyle name="Followed Hyperlink" xfId="5798" hidden="1" builtinId="9"/>
    <cellStyle name="Followed Hyperlink" xfId="5799" hidden="1" builtinId="9"/>
    <cellStyle name="Followed Hyperlink" xfId="5800" hidden="1" builtinId="9"/>
    <cellStyle name="Followed Hyperlink" xfId="5801" hidden="1" builtinId="9"/>
    <cellStyle name="Followed Hyperlink" xfId="5802" hidden="1" builtinId="9"/>
    <cellStyle name="Followed Hyperlink" xfId="5803" hidden="1" builtinId="9"/>
    <cellStyle name="Followed Hyperlink" xfId="5804" hidden="1" builtinId="9"/>
    <cellStyle name="Followed Hyperlink" xfId="5805" hidden="1" builtinId="9"/>
    <cellStyle name="Followed Hyperlink" xfId="5806" hidden="1" builtinId="9"/>
    <cellStyle name="Followed Hyperlink" xfId="5807" hidden="1" builtinId="9"/>
    <cellStyle name="Followed Hyperlink" xfId="5808" hidden="1" builtinId="9"/>
    <cellStyle name="Followed Hyperlink" xfId="5809" hidden="1" builtinId="9"/>
    <cellStyle name="Followed Hyperlink" xfId="5810" hidden="1" builtinId="9"/>
    <cellStyle name="Followed Hyperlink" xfId="5811" hidden="1" builtinId="9"/>
    <cellStyle name="Followed Hyperlink" xfId="5812" hidden="1" builtinId="9"/>
    <cellStyle name="Followed Hyperlink" xfId="5813" hidden="1" builtinId="9"/>
    <cellStyle name="Followed Hyperlink" xfId="5814" hidden="1" builtinId="9"/>
    <cellStyle name="Followed Hyperlink" xfId="5815" hidden="1" builtinId="9"/>
    <cellStyle name="Followed Hyperlink" xfId="5816" hidden="1" builtinId="9"/>
    <cellStyle name="Followed Hyperlink" xfId="5817" hidden="1" builtinId="9"/>
    <cellStyle name="Followed Hyperlink" xfId="5818" hidden="1" builtinId="9"/>
    <cellStyle name="Followed Hyperlink" xfId="5819" hidden="1" builtinId="9"/>
    <cellStyle name="Followed Hyperlink" xfId="5820" hidden="1" builtinId="9"/>
    <cellStyle name="Followed Hyperlink" xfId="5821" hidden="1" builtinId="9"/>
    <cellStyle name="Followed Hyperlink" xfId="5822" hidden="1" builtinId="9"/>
    <cellStyle name="Followed Hyperlink" xfId="5823" hidden="1" builtinId="9"/>
    <cellStyle name="Followed Hyperlink" xfId="5824" hidden="1" builtinId="9"/>
    <cellStyle name="Followed Hyperlink" xfId="5825" hidden="1" builtinId="9"/>
    <cellStyle name="Followed Hyperlink" xfId="5826" hidden="1" builtinId="9"/>
    <cellStyle name="Followed Hyperlink" xfId="5827" hidden="1" builtinId="9"/>
    <cellStyle name="Followed Hyperlink" xfId="5828" hidden="1" builtinId="9"/>
    <cellStyle name="Followed Hyperlink" xfId="5829" hidden="1" builtinId="9"/>
    <cellStyle name="Followed Hyperlink" xfId="5830" hidden="1" builtinId="9"/>
    <cellStyle name="Followed Hyperlink" xfId="5831" hidden="1" builtinId="9"/>
    <cellStyle name="Followed Hyperlink" xfId="5832" hidden="1" builtinId="9"/>
    <cellStyle name="Followed Hyperlink" xfId="5833" hidden="1" builtinId="9"/>
    <cellStyle name="Followed Hyperlink" xfId="5834" hidden="1" builtinId="9"/>
    <cellStyle name="Followed Hyperlink" xfId="5835" hidden="1" builtinId="9"/>
    <cellStyle name="Followed Hyperlink" xfId="5836" hidden="1" builtinId="9"/>
    <cellStyle name="Followed Hyperlink" xfId="5837" hidden="1" builtinId="9"/>
    <cellStyle name="Followed Hyperlink" xfId="5838" hidden="1" builtinId="9"/>
    <cellStyle name="Followed Hyperlink" xfId="5839" hidden="1" builtinId="9"/>
    <cellStyle name="Followed Hyperlink" xfId="5840" hidden="1" builtinId="9"/>
    <cellStyle name="Followed Hyperlink" xfId="5841" hidden="1" builtinId="9"/>
    <cellStyle name="Followed Hyperlink" xfId="5842" hidden="1" builtinId="9"/>
    <cellStyle name="Followed Hyperlink" xfId="5843" hidden="1" builtinId="9"/>
    <cellStyle name="Followed Hyperlink" xfId="5844" hidden="1" builtinId="9"/>
    <cellStyle name="Followed Hyperlink" xfId="5845" hidden="1" builtinId="9"/>
    <cellStyle name="Followed Hyperlink" xfId="5846" hidden="1" builtinId="9"/>
    <cellStyle name="Followed Hyperlink" xfId="5847" hidden="1" builtinId="9"/>
    <cellStyle name="Followed Hyperlink" xfId="5848" hidden="1" builtinId="9"/>
    <cellStyle name="Followed Hyperlink" xfId="5849" hidden="1" builtinId="9"/>
    <cellStyle name="Followed Hyperlink" xfId="5850" hidden="1" builtinId="9"/>
    <cellStyle name="Followed Hyperlink" xfId="5851" hidden="1" builtinId="9"/>
    <cellStyle name="Followed Hyperlink" xfId="5852" hidden="1" builtinId="9"/>
    <cellStyle name="Followed Hyperlink" xfId="5853" hidden="1" builtinId="9"/>
    <cellStyle name="Followed Hyperlink" xfId="5854" hidden="1" builtinId="9"/>
    <cellStyle name="Followed Hyperlink" xfId="5855" hidden="1" builtinId="9"/>
    <cellStyle name="Followed Hyperlink" xfId="5856" hidden="1" builtinId="9"/>
    <cellStyle name="Followed Hyperlink" xfId="5857" hidden="1" builtinId="9"/>
    <cellStyle name="Followed Hyperlink" xfId="5858" hidden="1" builtinId="9"/>
    <cellStyle name="Followed Hyperlink" xfId="5859" hidden="1" builtinId="9"/>
    <cellStyle name="Followed Hyperlink" xfId="5860" hidden="1" builtinId="9"/>
    <cellStyle name="Followed Hyperlink" xfId="5861" hidden="1" builtinId="9"/>
    <cellStyle name="Followed Hyperlink" xfId="5862" hidden="1" builtinId="9"/>
    <cellStyle name="Followed Hyperlink" xfId="5863" hidden="1" builtinId="9"/>
    <cellStyle name="Followed Hyperlink" xfId="5864" hidden="1" builtinId="9"/>
    <cellStyle name="Followed Hyperlink" xfId="5865" hidden="1" builtinId="9"/>
    <cellStyle name="Followed Hyperlink" xfId="5866" hidden="1" builtinId="9"/>
    <cellStyle name="Followed Hyperlink" xfId="5867" hidden="1" builtinId="9"/>
    <cellStyle name="Followed Hyperlink" xfId="5868" hidden="1" builtinId="9"/>
    <cellStyle name="Followed Hyperlink" xfId="5869" hidden="1" builtinId="9"/>
    <cellStyle name="Followed Hyperlink" xfId="5870" hidden="1" builtinId="9"/>
    <cellStyle name="Followed Hyperlink" xfId="5871" hidden="1" builtinId="9"/>
    <cellStyle name="Followed Hyperlink" xfId="5872" hidden="1" builtinId="9"/>
    <cellStyle name="Followed Hyperlink" xfId="5873" hidden="1" builtinId="9"/>
    <cellStyle name="Followed Hyperlink" xfId="5874" hidden="1" builtinId="9"/>
    <cellStyle name="Followed Hyperlink" xfId="5875" hidden="1" builtinId="9"/>
    <cellStyle name="Followed Hyperlink" xfId="5876" hidden="1" builtinId="9"/>
    <cellStyle name="Followed Hyperlink" xfId="5877" hidden="1" builtinId="9"/>
    <cellStyle name="Followed Hyperlink" xfId="5878" hidden="1" builtinId="9"/>
    <cellStyle name="Followed Hyperlink" xfId="5879" hidden="1" builtinId="9"/>
    <cellStyle name="Followed Hyperlink" xfId="5880" hidden="1" builtinId="9"/>
    <cellStyle name="Followed Hyperlink" xfId="5881" hidden="1" builtinId="9"/>
    <cellStyle name="Followed Hyperlink" xfId="5882" hidden="1" builtinId="9"/>
    <cellStyle name="Followed Hyperlink" xfId="5883" hidden="1" builtinId="9"/>
    <cellStyle name="Followed Hyperlink" xfId="5884" hidden="1" builtinId="9"/>
    <cellStyle name="Followed Hyperlink" xfId="5885" hidden="1" builtinId="9"/>
    <cellStyle name="Followed Hyperlink" xfId="5886" hidden="1" builtinId="9"/>
    <cellStyle name="Followed Hyperlink" xfId="5887" hidden="1" builtinId="9"/>
    <cellStyle name="Followed Hyperlink" xfId="5888" hidden="1" builtinId="9"/>
    <cellStyle name="Followed Hyperlink" xfId="5889" hidden="1" builtinId="9"/>
    <cellStyle name="Followed Hyperlink" xfId="5890" hidden="1" builtinId="9"/>
    <cellStyle name="Followed Hyperlink" xfId="5891" hidden="1" builtinId="9"/>
    <cellStyle name="Followed Hyperlink" xfId="5892" hidden="1" builtinId="9"/>
    <cellStyle name="Followed Hyperlink" xfId="5893" hidden="1" builtinId="9"/>
    <cellStyle name="Followed Hyperlink" xfId="5894" hidden="1" builtinId="9"/>
    <cellStyle name="Followed Hyperlink" xfId="5895" hidden="1" builtinId="9"/>
    <cellStyle name="Followed Hyperlink" xfId="5896" hidden="1" builtinId="9"/>
    <cellStyle name="Followed Hyperlink" xfId="5897" hidden="1" builtinId="9"/>
    <cellStyle name="Followed Hyperlink" xfId="5898" hidden="1" builtinId="9"/>
    <cellStyle name="Followed Hyperlink" xfId="5899" hidden="1" builtinId="9"/>
    <cellStyle name="Followed Hyperlink" xfId="5900" hidden="1" builtinId="9"/>
    <cellStyle name="Followed Hyperlink" xfId="5901" hidden="1" builtinId="9"/>
    <cellStyle name="Followed Hyperlink" xfId="5902" hidden="1" builtinId="9"/>
    <cellStyle name="Followed Hyperlink" xfId="5903" hidden="1" builtinId="9"/>
    <cellStyle name="Followed Hyperlink" xfId="5904" hidden="1" builtinId="9"/>
    <cellStyle name="Followed Hyperlink" xfId="5905" hidden="1" builtinId="9"/>
    <cellStyle name="Followed Hyperlink" xfId="5906" hidden="1" builtinId="9"/>
    <cellStyle name="Followed Hyperlink" xfId="5907" hidden="1" builtinId="9"/>
    <cellStyle name="Followed Hyperlink" xfId="5908" hidden="1" builtinId="9"/>
    <cellStyle name="Followed Hyperlink" xfId="5909" hidden="1" builtinId="9"/>
    <cellStyle name="Followed Hyperlink" xfId="5910" hidden="1" builtinId="9"/>
    <cellStyle name="Followed Hyperlink" xfId="5911" hidden="1" builtinId="9"/>
    <cellStyle name="Followed Hyperlink" xfId="5912" hidden="1" builtinId="9"/>
    <cellStyle name="Followed Hyperlink" xfId="5913" hidden="1" builtinId="9"/>
    <cellStyle name="Followed Hyperlink" xfId="5914" hidden="1" builtinId="9"/>
    <cellStyle name="Followed Hyperlink" xfId="5915" hidden="1" builtinId="9"/>
    <cellStyle name="Followed Hyperlink" xfId="5916" hidden="1" builtinId="9"/>
    <cellStyle name="Followed Hyperlink" xfId="5917" hidden="1" builtinId="9"/>
    <cellStyle name="Followed Hyperlink" xfId="5918" hidden="1" builtinId="9"/>
    <cellStyle name="Followed Hyperlink" xfId="5919" hidden="1" builtinId="9"/>
    <cellStyle name="Followed Hyperlink" xfId="5920" hidden="1" builtinId="9"/>
    <cellStyle name="Followed Hyperlink" xfId="5921" hidden="1" builtinId="9"/>
    <cellStyle name="Followed Hyperlink" xfId="5922" hidden="1" builtinId="9"/>
    <cellStyle name="Followed Hyperlink" xfId="5923" hidden="1" builtinId="9"/>
    <cellStyle name="Followed Hyperlink" xfId="5924" hidden="1" builtinId="9"/>
    <cellStyle name="Followed Hyperlink" xfId="5925" hidden="1" builtinId="9"/>
    <cellStyle name="Followed Hyperlink" xfId="5926" hidden="1" builtinId="9"/>
    <cellStyle name="Followed Hyperlink" xfId="5927" hidden="1" builtinId="9"/>
    <cellStyle name="Followed Hyperlink" xfId="5928" hidden="1" builtinId="9"/>
    <cellStyle name="Followed Hyperlink" xfId="5929" hidden="1" builtinId="9"/>
    <cellStyle name="Followed Hyperlink" xfId="5930" hidden="1" builtinId="9"/>
    <cellStyle name="Followed Hyperlink" xfId="5931" hidden="1" builtinId="9"/>
    <cellStyle name="Followed Hyperlink" xfId="5932" hidden="1" builtinId="9"/>
    <cellStyle name="Followed Hyperlink" xfId="5933" hidden="1" builtinId="9"/>
    <cellStyle name="Followed Hyperlink" xfId="5934" hidden="1" builtinId="9"/>
    <cellStyle name="Followed Hyperlink" xfId="5935" hidden="1" builtinId="9"/>
    <cellStyle name="Followed Hyperlink" xfId="5936" hidden="1" builtinId="9"/>
    <cellStyle name="Followed Hyperlink" xfId="5937" hidden="1" builtinId="9"/>
    <cellStyle name="Followed Hyperlink" xfId="5938" hidden="1" builtinId="9"/>
    <cellStyle name="Followed Hyperlink" xfId="5939" hidden="1" builtinId="9"/>
    <cellStyle name="Followed Hyperlink" xfId="5940" hidden="1" builtinId="9"/>
    <cellStyle name="Followed Hyperlink" xfId="5941" hidden="1" builtinId="9"/>
    <cellStyle name="Followed Hyperlink" xfId="5942" hidden="1" builtinId="9"/>
    <cellStyle name="Followed Hyperlink" xfId="5943" hidden="1" builtinId="9"/>
    <cellStyle name="Followed Hyperlink" xfId="5944" hidden="1" builtinId="9"/>
    <cellStyle name="Followed Hyperlink" xfId="5945" hidden="1" builtinId="9"/>
    <cellStyle name="Followed Hyperlink" xfId="5946" hidden="1" builtinId="9"/>
    <cellStyle name="Followed Hyperlink" xfId="5947" hidden="1" builtinId="9"/>
    <cellStyle name="Followed Hyperlink" xfId="5948" hidden="1" builtinId="9"/>
    <cellStyle name="Followed Hyperlink" xfId="5949" hidden="1" builtinId="9"/>
    <cellStyle name="Followed Hyperlink" xfId="5950" hidden="1" builtinId="9"/>
    <cellStyle name="Followed Hyperlink" xfId="5951" hidden="1" builtinId="9"/>
    <cellStyle name="Followed Hyperlink" xfId="5952" hidden="1" builtinId="9"/>
    <cellStyle name="Followed Hyperlink" xfId="5953" hidden="1" builtinId="9"/>
    <cellStyle name="Followed Hyperlink" xfId="5954" hidden="1" builtinId="9"/>
    <cellStyle name="Followed Hyperlink" xfId="5955" hidden="1" builtinId="9"/>
    <cellStyle name="Followed Hyperlink" xfId="5956" hidden="1" builtinId="9"/>
    <cellStyle name="Followed Hyperlink" xfId="5957" hidden="1" builtinId="9"/>
    <cellStyle name="Followed Hyperlink" xfId="5958" hidden="1" builtinId="9"/>
    <cellStyle name="Followed Hyperlink" xfId="5959" hidden="1" builtinId="9"/>
    <cellStyle name="Followed Hyperlink" xfId="5960" hidden="1" builtinId="9"/>
    <cellStyle name="Followed Hyperlink" xfId="5961" hidden="1" builtinId="9"/>
    <cellStyle name="Followed Hyperlink" xfId="5962" hidden="1" builtinId="9"/>
    <cellStyle name="Followed Hyperlink" xfId="5963" hidden="1" builtinId="9"/>
    <cellStyle name="Followed Hyperlink" xfId="5964" hidden="1" builtinId="9"/>
    <cellStyle name="Followed Hyperlink" xfId="5965" hidden="1" builtinId="9"/>
    <cellStyle name="Followed Hyperlink" xfId="5966" hidden="1" builtinId="9"/>
    <cellStyle name="Followed Hyperlink" xfId="5967" hidden="1" builtinId="9"/>
    <cellStyle name="Followed Hyperlink" xfId="5968" hidden="1" builtinId="9"/>
    <cellStyle name="Followed Hyperlink" xfId="5969" hidden="1" builtinId="9"/>
    <cellStyle name="Followed Hyperlink" xfId="5970" hidden="1" builtinId="9"/>
    <cellStyle name="Followed Hyperlink" xfId="5971" hidden="1" builtinId="9"/>
    <cellStyle name="Followed Hyperlink" xfId="5972" hidden="1" builtinId="9"/>
    <cellStyle name="Followed Hyperlink" xfId="5973" hidden="1" builtinId="9"/>
    <cellStyle name="Followed Hyperlink" xfId="5974" hidden="1" builtinId="9"/>
    <cellStyle name="Followed Hyperlink" xfId="5975" hidden="1" builtinId="9"/>
    <cellStyle name="Followed Hyperlink" xfId="5976" hidden="1" builtinId="9"/>
    <cellStyle name="Followed Hyperlink" xfId="5977" hidden="1" builtinId="9"/>
    <cellStyle name="Followed Hyperlink" xfId="5978" hidden="1" builtinId="9"/>
    <cellStyle name="Followed Hyperlink" xfId="5979" hidden="1" builtinId="9"/>
    <cellStyle name="Followed Hyperlink" xfId="5980" hidden="1" builtinId="9"/>
    <cellStyle name="Followed Hyperlink" xfId="5981" hidden="1" builtinId="9"/>
    <cellStyle name="Followed Hyperlink" xfId="5982" hidden="1" builtinId="9"/>
    <cellStyle name="Followed Hyperlink" xfId="5983" hidden="1" builtinId="9"/>
    <cellStyle name="Followed Hyperlink" xfId="5984" hidden="1" builtinId="9"/>
    <cellStyle name="Followed Hyperlink" xfId="5985" hidden="1" builtinId="9"/>
    <cellStyle name="Followed Hyperlink" xfId="5986" hidden="1" builtinId="9"/>
    <cellStyle name="Followed Hyperlink" xfId="5987" hidden="1" builtinId="9"/>
    <cellStyle name="Followed Hyperlink" xfId="5988" hidden="1" builtinId="9"/>
    <cellStyle name="Followed Hyperlink" xfId="5989" hidden="1" builtinId="9"/>
    <cellStyle name="Followed Hyperlink" xfId="5990" hidden="1" builtinId="9"/>
    <cellStyle name="Followed Hyperlink" xfId="5991" hidden="1" builtinId="9"/>
    <cellStyle name="Followed Hyperlink" xfId="5992" hidden="1" builtinId="9"/>
    <cellStyle name="Followed Hyperlink" xfId="5993" hidden="1" builtinId="9"/>
    <cellStyle name="Followed Hyperlink" xfId="5994" hidden="1" builtinId="9"/>
    <cellStyle name="Followed Hyperlink" xfId="5995" hidden="1" builtinId="9"/>
    <cellStyle name="Followed Hyperlink" xfId="5996" hidden="1" builtinId="9"/>
    <cellStyle name="Followed Hyperlink" xfId="5997" hidden="1" builtinId="9"/>
    <cellStyle name="Followed Hyperlink" xfId="5998" hidden="1" builtinId="9"/>
    <cellStyle name="Followed Hyperlink" xfId="5999" hidden="1" builtinId="9"/>
    <cellStyle name="Followed Hyperlink" xfId="6000" hidden="1" builtinId="9"/>
    <cellStyle name="Followed Hyperlink" xfId="6001" hidden="1" builtinId="9"/>
    <cellStyle name="Followed Hyperlink" xfId="6002" hidden="1" builtinId="9"/>
    <cellStyle name="Followed Hyperlink" xfId="6003" hidden="1" builtinId="9"/>
    <cellStyle name="Followed Hyperlink" xfId="6004" hidden="1" builtinId="9"/>
    <cellStyle name="Followed Hyperlink" xfId="6005" hidden="1" builtinId="9"/>
    <cellStyle name="Followed Hyperlink" xfId="6006" hidden="1" builtinId="9"/>
    <cellStyle name="Followed Hyperlink" xfId="6007" hidden="1" builtinId="9"/>
    <cellStyle name="Followed Hyperlink" xfId="6008" hidden="1" builtinId="9"/>
    <cellStyle name="Followed Hyperlink" xfId="6009" hidden="1" builtinId="9"/>
    <cellStyle name="Followed Hyperlink" xfId="6010" hidden="1" builtinId="9"/>
    <cellStyle name="Followed Hyperlink" xfId="6011" hidden="1" builtinId="9"/>
    <cellStyle name="Followed Hyperlink" xfId="6012" hidden="1" builtinId="9"/>
    <cellStyle name="Followed Hyperlink" xfId="6013" hidden="1" builtinId="9"/>
    <cellStyle name="Followed Hyperlink" xfId="6014" hidden="1" builtinId="9"/>
    <cellStyle name="Followed Hyperlink" xfId="6015" hidden="1" builtinId="9"/>
    <cellStyle name="Followed Hyperlink" xfId="6016" hidden="1" builtinId="9"/>
    <cellStyle name="Followed Hyperlink" xfId="6017" hidden="1" builtinId="9"/>
    <cellStyle name="Followed Hyperlink" xfId="6018" hidden="1" builtinId="9"/>
    <cellStyle name="Followed Hyperlink" xfId="6019" hidden="1" builtinId="9"/>
    <cellStyle name="Followed Hyperlink" xfId="6020" hidden="1" builtinId="9"/>
    <cellStyle name="Followed Hyperlink" xfId="6021" hidden="1" builtinId="9"/>
    <cellStyle name="Followed Hyperlink" xfId="6022" hidden="1" builtinId="9"/>
    <cellStyle name="Followed Hyperlink" xfId="6023" hidden="1" builtinId="9"/>
    <cellStyle name="Followed Hyperlink" xfId="6024" hidden="1" builtinId="9"/>
    <cellStyle name="Followed Hyperlink" xfId="6025" hidden="1" builtinId="9"/>
    <cellStyle name="Followed Hyperlink" xfId="6026" hidden="1" builtinId="9"/>
    <cellStyle name="Followed Hyperlink" xfId="6027" hidden="1" builtinId="9"/>
    <cellStyle name="Followed Hyperlink" xfId="6028" hidden="1" builtinId="9"/>
    <cellStyle name="Followed Hyperlink" xfId="6029" hidden="1" builtinId="9"/>
    <cellStyle name="Followed Hyperlink" xfId="6030" hidden="1" builtinId="9"/>
    <cellStyle name="Followed Hyperlink" xfId="6031" hidden="1" builtinId="9"/>
    <cellStyle name="Followed Hyperlink" xfId="6032" hidden="1" builtinId="9"/>
    <cellStyle name="Followed Hyperlink" xfId="6033" hidden="1" builtinId="9"/>
    <cellStyle name="Followed Hyperlink" xfId="6034" hidden="1" builtinId="9"/>
    <cellStyle name="Followed Hyperlink" xfId="6035" hidden="1" builtinId="9"/>
    <cellStyle name="Followed Hyperlink" xfId="6036" hidden="1" builtinId="9"/>
    <cellStyle name="Followed Hyperlink" xfId="6037" hidden="1" builtinId="9"/>
    <cellStyle name="Followed Hyperlink" xfId="6038" hidden="1" builtinId="9"/>
    <cellStyle name="Followed Hyperlink" xfId="6039" hidden="1" builtinId="9"/>
    <cellStyle name="Followed Hyperlink" xfId="6040" hidden="1" builtinId="9"/>
    <cellStyle name="Followed Hyperlink" xfId="6041" hidden="1" builtinId="9"/>
    <cellStyle name="Followed Hyperlink" xfId="6042" hidden="1" builtinId="9"/>
    <cellStyle name="Followed Hyperlink" xfId="6043" hidden="1" builtinId="9"/>
    <cellStyle name="Followed Hyperlink" xfId="6044" hidden="1" builtinId="9"/>
    <cellStyle name="Followed Hyperlink" xfId="6045" hidden="1" builtinId="9"/>
    <cellStyle name="Followed Hyperlink" xfId="6046" hidden="1" builtinId="9"/>
    <cellStyle name="Followed Hyperlink" xfId="6047" hidden="1" builtinId="9"/>
    <cellStyle name="Followed Hyperlink" xfId="6048" hidden="1" builtinId="9"/>
    <cellStyle name="Followed Hyperlink" xfId="6049" hidden="1" builtinId="9"/>
    <cellStyle name="Followed Hyperlink" xfId="6050" hidden="1" builtinId="9"/>
    <cellStyle name="Followed Hyperlink" xfId="6051" hidden="1" builtinId="9"/>
    <cellStyle name="Followed Hyperlink" xfId="6052" hidden="1" builtinId="9"/>
    <cellStyle name="Followed Hyperlink" xfId="6053" hidden="1" builtinId="9"/>
    <cellStyle name="Followed Hyperlink" xfId="6054" hidden="1" builtinId="9"/>
    <cellStyle name="Followed Hyperlink" xfId="6055" hidden="1" builtinId="9"/>
    <cellStyle name="Followed Hyperlink" xfId="6056" hidden="1" builtinId="9"/>
    <cellStyle name="Followed Hyperlink" xfId="6057" hidden="1" builtinId="9"/>
    <cellStyle name="Followed Hyperlink" xfId="6058" hidden="1" builtinId="9"/>
    <cellStyle name="Followed Hyperlink" xfId="6059" hidden="1" builtinId="9"/>
    <cellStyle name="Followed Hyperlink" xfId="6060" hidden="1" builtinId="9"/>
    <cellStyle name="Followed Hyperlink" xfId="6061" hidden="1" builtinId="9"/>
    <cellStyle name="Followed Hyperlink" xfId="6062" hidden="1" builtinId="9"/>
    <cellStyle name="Followed Hyperlink" xfId="6063" hidden="1" builtinId="9"/>
    <cellStyle name="Followed Hyperlink" xfId="6064" hidden="1" builtinId="9"/>
    <cellStyle name="Followed Hyperlink" xfId="6065" hidden="1" builtinId="9"/>
    <cellStyle name="Followed Hyperlink" xfId="6066" hidden="1" builtinId="9"/>
    <cellStyle name="Followed Hyperlink" xfId="6067" hidden="1" builtinId="9"/>
    <cellStyle name="Followed Hyperlink" xfId="6068" hidden="1" builtinId="9"/>
    <cellStyle name="Followed Hyperlink" xfId="6069" hidden="1" builtinId="9"/>
    <cellStyle name="Followed Hyperlink" xfId="6070" hidden="1" builtinId="9"/>
    <cellStyle name="Followed Hyperlink" xfId="6071" hidden="1" builtinId="9"/>
    <cellStyle name="Followed Hyperlink" xfId="6072" hidden="1" builtinId="9"/>
    <cellStyle name="Followed Hyperlink" xfId="6073" hidden="1" builtinId="9"/>
    <cellStyle name="Followed Hyperlink" xfId="6074" hidden="1" builtinId="9"/>
    <cellStyle name="Followed Hyperlink" xfId="6075" hidden="1" builtinId="9"/>
    <cellStyle name="Followed Hyperlink" xfId="6076" hidden="1" builtinId="9"/>
    <cellStyle name="Followed Hyperlink" xfId="6077" hidden="1" builtinId="9"/>
    <cellStyle name="Followed Hyperlink" xfId="6078" hidden="1" builtinId="9"/>
    <cellStyle name="Followed Hyperlink" xfId="6079" hidden="1" builtinId="9"/>
    <cellStyle name="Followed Hyperlink" xfId="6080" hidden="1" builtinId="9"/>
    <cellStyle name="Followed Hyperlink" xfId="6081" hidden="1" builtinId="9"/>
    <cellStyle name="Followed Hyperlink" xfId="6082" hidden="1" builtinId="9"/>
    <cellStyle name="Followed Hyperlink" xfId="6083" hidden="1" builtinId="9"/>
    <cellStyle name="Followed Hyperlink" xfId="6084" hidden="1" builtinId="9"/>
    <cellStyle name="Followed Hyperlink" xfId="6085" hidden="1" builtinId="9"/>
    <cellStyle name="Followed Hyperlink" xfId="6086" hidden="1" builtinId="9"/>
    <cellStyle name="Followed Hyperlink" xfId="6087" hidden="1" builtinId="9"/>
    <cellStyle name="Followed Hyperlink" xfId="6088" hidden="1" builtinId="9"/>
    <cellStyle name="Followed Hyperlink" xfId="6089" hidden="1" builtinId="9"/>
    <cellStyle name="Followed Hyperlink" xfId="6090" hidden="1" builtinId="9"/>
    <cellStyle name="Followed Hyperlink" xfId="6091" hidden="1" builtinId="9"/>
    <cellStyle name="Followed Hyperlink" xfId="6092" hidden="1" builtinId="9"/>
    <cellStyle name="Followed Hyperlink" xfId="6093" hidden="1" builtinId="9"/>
    <cellStyle name="Followed Hyperlink" xfId="6094" hidden="1" builtinId="9"/>
    <cellStyle name="Followed Hyperlink" xfId="6095" hidden="1" builtinId="9"/>
    <cellStyle name="Followed Hyperlink" xfId="6096" hidden="1" builtinId="9"/>
    <cellStyle name="Followed Hyperlink" xfId="6097" hidden="1" builtinId="9"/>
    <cellStyle name="Followed Hyperlink" xfId="6098" hidden="1" builtinId="9"/>
    <cellStyle name="Followed Hyperlink" xfId="6099" hidden="1" builtinId="9"/>
    <cellStyle name="Followed Hyperlink" xfId="6100" hidden="1" builtinId="9"/>
    <cellStyle name="Followed Hyperlink" xfId="6101" hidden="1" builtinId="9"/>
    <cellStyle name="Followed Hyperlink" xfId="6102" hidden="1" builtinId="9"/>
    <cellStyle name="Followed Hyperlink" xfId="6103" hidden="1" builtinId="9"/>
    <cellStyle name="Followed Hyperlink" xfId="6104" hidden="1" builtinId="9"/>
    <cellStyle name="Followed Hyperlink" xfId="6105" hidden="1" builtinId="9"/>
    <cellStyle name="Followed Hyperlink" xfId="6106" hidden="1" builtinId="9"/>
    <cellStyle name="Followed Hyperlink" xfId="6107" hidden="1" builtinId="9"/>
    <cellStyle name="Followed Hyperlink" xfId="6108" hidden="1" builtinId="9"/>
    <cellStyle name="Followed Hyperlink" xfId="6109" hidden="1" builtinId="9"/>
    <cellStyle name="Followed Hyperlink" xfId="6110" hidden="1" builtinId="9"/>
    <cellStyle name="Followed Hyperlink" xfId="6111" hidden="1" builtinId="9"/>
    <cellStyle name="Followed Hyperlink" xfId="6112" hidden="1" builtinId="9"/>
    <cellStyle name="Followed Hyperlink" xfId="6113" hidden="1" builtinId="9"/>
    <cellStyle name="Followed Hyperlink" xfId="6114" hidden="1" builtinId="9"/>
    <cellStyle name="Followed Hyperlink" xfId="6115" hidden="1" builtinId="9"/>
    <cellStyle name="Followed Hyperlink" xfId="6116" hidden="1" builtinId="9"/>
    <cellStyle name="Followed Hyperlink" xfId="6117" hidden="1" builtinId="9"/>
    <cellStyle name="Followed Hyperlink" xfId="6118" hidden="1" builtinId="9"/>
    <cellStyle name="Followed Hyperlink" xfId="6119" hidden="1" builtinId="9"/>
    <cellStyle name="Followed Hyperlink" xfId="6120" hidden="1" builtinId="9"/>
    <cellStyle name="Followed Hyperlink" xfId="6121" hidden="1" builtinId="9"/>
    <cellStyle name="Followed Hyperlink" xfId="6122" hidden="1" builtinId="9"/>
    <cellStyle name="Followed Hyperlink" xfId="6123" hidden="1" builtinId="9"/>
    <cellStyle name="Followed Hyperlink" xfId="6124" hidden="1" builtinId="9"/>
    <cellStyle name="Followed Hyperlink" xfId="6125" hidden="1" builtinId="9"/>
    <cellStyle name="Followed Hyperlink" xfId="6126" hidden="1" builtinId="9"/>
    <cellStyle name="Followed Hyperlink" xfId="6127" hidden="1" builtinId="9"/>
    <cellStyle name="Followed Hyperlink" xfId="6128" hidden="1" builtinId="9"/>
    <cellStyle name="Followed Hyperlink" xfId="6129" hidden="1" builtinId="9"/>
    <cellStyle name="Followed Hyperlink" xfId="6130" hidden="1" builtinId="9"/>
    <cellStyle name="Followed Hyperlink" xfId="6131" hidden="1" builtinId="9"/>
    <cellStyle name="Followed Hyperlink" xfId="6132" hidden="1" builtinId="9"/>
    <cellStyle name="Followed Hyperlink" xfId="6133" hidden="1" builtinId="9"/>
    <cellStyle name="Followed Hyperlink" xfId="6134" hidden="1" builtinId="9"/>
    <cellStyle name="Followed Hyperlink" xfId="6135" hidden="1" builtinId="9"/>
    <cellStyle name="Followed Hyperlink" xfId="6136" hidden="1" builtinId="9"/>
    <cellStyle name="Followed Hyperlink" xfId="6137" hidden="1" builtinId="9"/>
    <cellStyle name="Followed Hyperlink" xfId="6138" hidden="1" builtinId="9"/>
    <cellStyle name="Followed Hyperlink" xfId="6139" hidden="1" builtinId="9"/>
    <cellStyle name="Followed Hyperlink" xfId="6140" hidden="1" builtinId="9"/>
    <cellStyle name="Followed Hyperlink" xfId="6141" hidden="1" builtinId="9"/>
    <cellStyle name="Followed Hyperlink" xfId="6142" hidden="1" builtinId="9"/>
    <cellStyle name="Followed Hyperlink" xfId="6143" hidden="1" builtinId="9"/>
    <cellStyle name="Followed Hyperlink" xfId="6144" hidden="1" builtinId="9"/>
    <cellStyle name="Followed Hyperlink" xfId="6145" hidden="1" builtinId="9"/>
    <cellStyle name="Followed Hyperlink" xfId="6146" hidden="1" builtinId="9"/>
    <cellStyle name="Followed Hyperlink" xfId="6147" hidden="1" builtinId="9"/>
    <cellStyle name="Followed Hyperlink" xfId="6148" hidden="1" builtinId="9"/>
    <cellStyle name="Followed Hyperlink" xfId="6149" hidden="1" builtinId="9"/>
    <cellStyle name="Followed Hyperlink" xfId="6150" hidden="1" builtinId="9"/>
    <cellStyle name="Followed Hyperlink" xfId="6151" hidden="1" builtinId="9"/>
    <cellStyle name="Followed Hyperlink" xfId="6152" hidden="1" builtinId="9"/>
    <cellStyle name="Followed Hyperlink" xfId="6153" hidden="1" builtinId="9"/>
    <cellStyle name="Followed Hyperlink" xfId="6154" hidden="1" builtinId="9"/>
    <cellStyle name="Followed Hyperlink" xfId="6155" hidden="1" builtinId="9"/>
    <cellStyle name="Followed Hyperlink" xfId="6156" hidden="1" builtinId="9"/>
    <cellStyle name="Followed Hyperlink" xfId="6157" hidden="1" builtinId="9"/>
    <cellStyle name="Followed Hyperlink" xfId="6158" hidden="1" builtinId="9"/>
    <cellStyle name="Followed Hyperlink" xfId="6159" hidden="1" builtinId="9"/>
    <cellStyle name="Followed Hyperlink" xfId="6160" hidden="1" builtinId="9"/>
    <cellStyle name="Followed Hyperlink" xfId="6161" hidden="1" builtinId="9"/>
    <cellStyle name="Followed Hyperlink" xfId="6162" hidden="1" builtinId="9"/>
    <cellStyle name="Followed Hyperlink" xfId="6163" hidden="1" builtinId="9"/>
    <cellStyle name="Followed Hyperlink" xfId="6164" hidden="1" builtinId="9"/>
    <cellStyle name="Followed Hyperlink" xfId="6165" hidden="1" builtinId="9"/>
    <cellStyle name="Followed Hyperlink" xfId="6166" hidden="1" builtinId="9"/>
    <cellStyle name="Followed Hyperlink" xfId="6167" hidden="1" builtinId="9"/>
    <cellStyle name="Followed Hyperlink" xfId="6168" hidden="1" builtinId="9"/>
    <cellStyle name="Followed Hyperlink" xfId="6169" hidden="1" builtinId="9"/>
    <cellStyle name="Followed Hyperlink" xfId="6170" hidden="1" builtinId="9"/>
    <cellStyle name="Followed Hyperlink" xfId="6171" hidden="1" builtinId="9"/>
    <cellStyle name="Followed Hyperlink" xfId="6172" hidden="1" builtinId="9"/>
    <cellStyle name="Followed Hyperlink" xfId="6173" hidden="1" builtinId="9"/>
    <cellStyle name="Followed Hyperlink" xfId="6174" hidden="1" builtinId="9"/>
    <cellStyle name="Followed Hyperlink" xfId="6175" hidden="1" builtinId="9"/>
    <cellStyle name="Followed Hyperlink" xfId="6176" hidden="1" builtinId="9"/>
    <cellStyle name="Followed Hyperlink" xfId="6177" hidden="1" builtinId="9"/>
    <cellStyle name="Followed Hyperlink" xfId="6178" hidden="1" builtinId="9"/>
    <cellStyle name="Followed Hyperlink" xfId="6179" hidden="1" builtinId="9"/>
    <cellStyle name="Followed Hyperlink" xfId="6180" hidden="1" builtinId="9"/>
    <cellStyle name="Followed Hyperlink" xfId="6181" hidden="1" builtinId="9"/>
    <cellStyle name="Followed Hyperlink" xfId="6182" hidden="1" builtinId="9"/>
    <cellStyle name="Followed Hyperlink" xfId="6183" hidden="1" builtinId="9"/>
    <cellStyle name="Followed Hyperlink" xfId="6184" hidden="1" builtinId="9"/>
    <cellStyle name="Followed Hyperlink" xfId="6185" hidden="1" builtinId="9"/>
    <cellStyle name="Followed Hyperlink" xfId="6186" hidden="1" builtinId="9"/>
    <cellStyle name="Followed Hyperlink" xfId="6187" hidden="1" builtinId="9"/>
    <cellStyle name="Followed Hyperlink" xfId="6188" hidden="1" builtinId="9"/>
    <cellStyle name="Followed Hyperlink" xfId="6189" hidden="1" builtinId="9"/>
    <cellStyle name="Followed Hyperlink" xfId="6190" hidden="1" builtinId="9"/>
    <cellStyle name="Followed Hyperlink" xfId="6191" hidden="1" builtinId="9"/>
    <cellStyle name="Followed Hyperlink" xfId="6192" hidden="1" builtinId="9"/>
    <cellStyle name="Followed Hyperlink" xfId="6193" hidden="1" builtinId="9"/>
    <cellStyle name="Followed Hyperlink" xfId="6194" hidden="1" builtinId="9"/>
    <cellStyle name="Followed Hyperlink" xfId="6195" hidden="1" builtinId="9"/>
    <cellStyle name="Followed Hyperlink" xfId="6196" hidden="1" builtinId="9"/>
    <cellStyle name="Followed Hyperlink" xfId="6197" hidden="1" builtinId="9"/>
    <cellStyle name="Followed Hyperlink" xfId="6198" hidden="1" builtinId="9"/>
    <cellStyle name="Followed Hyperlink" xfId="6199" hidden="1" builtinId="9"/>
    <cellStyle name="Followed Hyperlink" xfId="6200" hidden="1" builtinId="9"/>
    <cellStyle name="Followed Hyperlink" xfId="6201" hidden="1" builtinId="9"/>
    <cellStyle name="Followed Hyperlink" xfId="6202" hidden="1" builtinId="9"/>
    <cellStyle name="Followed Hyperlink" xfId="6203" hidden="1" builtinId="9"/>
    <cellStyle name="Followed Hyperlink" xfId="6204" hidden="1" builtinId="9"/>
    <cellStyle name="Followed Hyperlink" xfId="6205" hidden="1" builtinId="9"/>
    <cellStyle name="Followed Hyperlink" xfId="6206" hidden="1" builtinId="9"/>
    <cellStyle name="Followed Hyperlink" xfId="6207" hidden="1" builtinId="9"/>
    <cellStyle name="Followed Hyperlink" xfId="6208" hidden="1" builtinId="9"/>
    <cellStyle name="Followed Hyperlink" xfId="6209" hidden="1" builtinId="9"/>
    <cellStyle name="Followed Hyperlink" xfId="6210" hidden="1" builtinId="9"/>
    <cellStyle name="Followed Hyperlink" xfId="6211" hidden="1" builtinId="9"/>
    <cellStyle name="Followed Hyperlink" xfId="6212" hidden="1" builtinId="9"/>
    <cellStyle name="Followed Hyperlink" xfId="6213" hidden="1" builtinId="9"/>
    <cellStyle name="Followed Hyperlink" xfId="6214" hidden="1" builtinId="9"/>
    <cellStyle name="Followed Hyperlink" xfId="6215" hidden="1" builtinId="9"/>
    <cellStyle name="Followed Hyperlink" xfId="6216" hidden="1" builtinId="9"/>
    <cellStyle name="Followed Hyperlink" xfId="6217" hidden="1" builtinId="9"/>
    <cellStyle name="Followed Hyperlink" xfId="6218" hidden="1" builtinId="9"/>
    <cellStyle name="Followed Hyperlink" xfId="6219" hidden="1" builtinId="9"/>
    <cellStyle name="Followed Hyperlink" xfId="6220" hidden="1" builtinId="9"/>
    <cellStyle name="Followed Hyperlink" xfId="6221" hidden="1" builtinId="9"/>
    <cellStyle name="Followed Hyperlink" xfId="6222" hidden="1" builtinId="9"/>
    <cellStyle name="Followed Hyperlink" xfId="6223" hidden="1" builtinId="9"/>
    <cellStyle name="Followed Hyperlink" xfId="6224" hidden="1" builtinId="9"/>
    <cellStyle name="Table Head Aligned 2" xfId="6225"/>
    <cellStyle name="Comma 14" xfId="6226"/>
    <cellStyle name="Table Head Green 2" xfId="6227"/>
    <cellStyle name="test a style 2" xfId="6228"/>
    <cellStyle name="UnProtectedCalc 2" xfId="6229"/>
    <cellStyle name="YearFormat 2" xfId="6230"/>
    <cellStyle name="Followed Hyperlink" xfId="6231" hidden="1" builtinId="9"/>
    <cellStyle name="Followed Hyperlink" xfId="6232" hidden="1" builtinId="9"/>
    <cellStyle name="Followed Hyperlink" xfId="6233" hidden="1" builtinId="9"/>
    <cellStyle name="Followed Hyperlink" xfId="6234" hidden="1" builtinId="9"/>
    <cellStyle name="Followed Hyperlink" xfId="6235" hidden="1" builtinId="9"/>
    <cellStyle name="Followed Hyperlink" xfId="6236" hidden="1" builtinId="9"/>
    <cellStyle name="Followed Hyperlink" xfId="6237" hidden="1" builtinId="9"/>
    <cellStyle name="Followed Hyperlink" xfId="6238" hidden="1" builtinId="9"/>
    <cellStyle name="Followed Hyperlink" xfId="6239" hidden="1" builtinId="9"/>
    <cellStyle name="Followed Hyperlink" xfId="6240" hidden="1" builtinId="9"/>
    <cellStyle name="Followed Hyperlink" xfId="6241" hidden="1" builtinId="9"/>
    <cellStyle name="Followed Hyperlink" xfId="6242" hidden="1" builtinId="9"/>
    <cellStyle name="Followed Hyperlink" xfId="6243" hidden="1" builtinId="9"/>
    <cellStyle name="Followed Hyperlink" xfId="6244" hidden="1" builtinId="9"/>
    <cellStyle name="Followed Hyperlink" xfId="6245" hidden="1" builtinId="9"/>
    <cellStyle name="Followed Hyperlink" xfId="6246" hidden="1" builtinId="9"/>
    <cellStyle name="Followed Hyperlink" xfId="6247" hidden="1" builtinId="9"/>
    <cellStyle name="Followed Hyperlink" xfId="6248" hidden="1" builtinId="9"/>
    <cellStyle name="Followed Hyperlink" xfId="6249" hidden="1" builtinId="9"/>
    <cellStyle name="Followed Hyperlink" xfId="6250" hidden="1" builtinId="9"/>
    <cellStyle name="Followed Hyperlink" xfId="6251" hidden="1" builtinId="9"/>
    <cellStyle name="Followed Hyperlink" xfId="6252" hidden="1" builtinId="9"/>
    <cellStyle name="Followed Hyperlink" xfId="6253" hidden="1" builtinId="9"/>
    <cellStyle name="Followed Hyperlink" xfId="6254" hidden="1" builtinId="9"/>
    <cellStyle name="Followed Hyperlink" xfId="6255" hidden="1" builtinId="9"/>
    <cellStyle name="Followed Hyperlink" xfId="6256" hidden="1" builtinId="9"/>
    <cellStyle name="Followed Hyperlink" xfId="6257" hidden="1" builtinId="9"/>
    <cellStyle name="Followed Hyperlink" xfId="6258" hidden="1" builtinId="9"/>
    <cellStyle name="Followed Hyperlink" xfId="6259" hidden="1" builtinId="9"/>
    <cellStyle name="Followed Hyperlink" xfId="6260" hidden="1" builtinId="9"/>
    <cellStyle name="Followed Hyperlink" xfId="6261" hidden="1" builtinId="9"/>
    <cellStyle name="Followed Hyperlink" xfId="6262" hidden="1" builtinId="9"/>
    <cellStyle name="Followed Hyperlink" xfId="6263" hidden="1" builtinId="9"/>
    <cellStyle name="Followed Hyperlink" xfId="6264" hidden="1" builtinId="9"/>
    <cellStyle name="Followed Hyperlink" xfId="6265" hidden="1" builtinId="9"/>
    <cellStyle name="Followed Hyperlink" xfId="6266" hidden="1" builtinId="9"/>
    <cellStyle name="Followed Hyperlink" xfId="6267" hidden="1" builtinId="9"/>
    <cellStyle name="Followed Hyperlink" xfId="6268" hidden="1" builtinId="9"/>
    <cellStyle name="Followed Hyperlink" xfId="6269" hidden="1" builtinId="9"/>
    <cellStyle name="Followed Hyperlink" xfId="6270" hidden="1" builtinId="9"/>
    <cellStyle name="Followed Hyperlink" xfId="6271" hidden="1" builtinId="9"/>
    <cellStyle name="Followed Hyperlink" xfId="6272" hidden="1" builtinId="9"/>
    <cellStyle name="Followed Hyperlink" xfId="6273" hidden="1" builtinId="9"/>
    <cellStyle name="Followed Hyperlink" xfId="6274" hidden="1" builtinId="9"/>
    <cellStyle name="Followed Hyperlink" xfId="6275" hidden="1" builtinId="9"/>
    <cellStyle name="Followed Hyperlink" xfId="6276" hidden="1" builtinId="9"/>
    <cellStyle name="Followed Hyperlink" xfId="6277" hidden="1" builtinId="9"/>
    <cellStyle name="Comma 15" xfId="6278"/>
    <cellStyle name="Comma 17" xfId="6279"/>
    <cellStyle name="Comma 16" xfId="6280"/>
    <cellStyle name="Followed Hyperlink" xfId="6281" hidden="1" builtinId="9"/>
    <cellStyle name="Followed Hyperlink" xfId="6282" hidden="1" builtinId="9"/>
    <cellStyle name="Followed Hyperlink" xfId="6283" hidden="1" builtinId="9"/>
    <cellStyle name="Followed Hyperlink" xfId="6284" hidden="1" builtinId="9"/>
    <cellStyle name="Followed Hyperlink" xfId="6285" hidden="1" builtinId="9"/>
    <cellStyle name="Followed Hyperlink" xfId="6286" hidden="1" builtinId="9"/>
    <cellStyle name="Followed Hyperlink" xfId="6287" hidden="1" builtinId="9"/>
    <cellStyle name="Followed Hyperlink" xfId="6288" hidden="1" builtinId="9"/>
    <cellStyle name="Followed Hyperlink" xfId="6289" hidden="1" builtinId="9"/>
    <cellStyle name="Followed Hyperlink" xfId="6290" hidden="1" builtinId="9"/>
    <cellStyle name="Followed Hyperlink" xfId="6291" hidden="1" builtinId="9"/>
    <cellStyle name="Followed Hyperlink" xfId="6292" hidden="1" builtinId="9"/>
    <cellStyle name="Followed Hyperlink" xfId="6293" hidden="1" builtinId="9"/>
    <cellStyle name="Followed Hyperlink" xfId="6294" hidden="1" builtinId="9"/>
    <cellStyle name="Followed Hyperlink" xfId="6295" hidden="1" builtinId="9"/>
    <cellStyle name="Followed Hyperlink" xfId="6296" hidden="1" builtinId="9"/>
    <cellStyle name="Followed Hyperlink" xfId="6297" hidden="1" builtinId="9"/>
    <cellStyle name="Followed Hyperlink" xfId="6298" hidden="1" builtinId="9"/>
    <cellStyle name="Followed Hyperlink" xfId="6299" hidden="1" builtinId="9"/>
    <cellStyle name="Followed Hyperlink" xfId="6300" hidden="1" builtinId="9"/>
    <cellStyle name="Followed Hyperlink" xfId="6301" hidden="1" builtinId="9"/>
    <cellStyle name="Followed Hyperlink" xfId="6302" hidden="1" builtinId="9"/>
    <cellStyle name="Followed Hyperlink" xfId="6303" hidden="1" builtinId="9"/>
    <cellStyle name="Followed Hyperlink" xfId="6304" hidden="1" builtinId="9"/>
    <cellStyle name="Followed Hyperlink" xfId="6305" hidden="1" builtinId="9"/>
    <cellStyle name="Followed Hyperlink" xfId="6306" hidden="1" builtinId="9"/>
    <cellStyle name="Followed Hyperlink" xfId="6307" hidden="1" builtinId="9"/>
    <cellStyle name="Followed Hyperlink" xfId="6308" hidden="1" builtinId="9"/>
    <cellStyle name="Followed Hyperlink" xfId="6309" hidden="1" builtinId="9"/>
    <cellStyle name="Followed Hyperlink" xfId="6310" hidden="1" builtinId="9"/>
    <cellStyle name="Followed Hyperlink" xfId="6311" hidden="1" builtinId="9"/>
    <cellStyle name="Followed Hyperlink" xfId="6312" hidden="1" builtinId="9"/>
    <cellStyle name="Followed Hyperlink" xfId="6313" hidden="1" builtinId="9"/>
    <cellStyle name="Followed Hyperlink" xfId="6314" hidden="1" builtinId="9"/>
    <cellStyle name="Followed Hyperlink" xfId="6315" hidden="1" builtinId="9"/>
    <cellStyle name="Followed Hyperlink" xfId="6316" hidden="1" builtinId="9"/>
    <cellStyle name="Followed Hyperlink" xfId="6317" hidden="1" builtinId="9"/>
    <cellStyle name="Followed Hyperlink" xfId="6318" hidden="1" builtinId="9"/>
    <cellStyle name="Followed Hyperlink" xfId="6319" hidden="1" builtinId="9"/>
    <cellStyle name="Followed Hyperlink" xfId="6320" hidden="1" builtinId="9"/>
    <cellStyle name="Followed Hyperlink" xfId="6321" hidden="1" builtinId="9"/>
    <cellStyle name="Followed Hyperlink" xfId="6322" hidden="1" builtinId="9"/>
    <cellStyle name="Followed Hyperlink" xfId="6323" hidden="1" builtinId="9"/>
    <cellStyle name="Followed Hyperlink" xfId="6324" hidden="1" builtinId="9"/>
    <cellStyle name="Followed Hyperlink" xfId="6325" hidden="1" builtinId="9"/>
    <cellStyle name="Followed Hyperlink" xfId="6326" hidden="1" builtinId="9"/>
    <cellStyle name="Followed Hyperlink" xfId="6327" hidden="1" builtinId="9"/>
    <cellStyle name="Followed Hyperlink" xfId="6328" hidden="1" builtinId="9"/>
    <cellStyle name="Followed Hyperlink" xfId="6329" hidden="1" builtinId="9"/>
    <cellStyle name="Followed Hyperlink" xfId="6330" hidden="1" builtinId="9"/>
    <cellStyle name="Followed Hyperlink" xfId="6331" hidden="1" builtinId="9"/>
    <cellStyle name="Followed Hyperlink" xfId="6332" hidden="1" builtinId="9"/>
    <cellStyle name="Followed Hyperlink" xfId="6333" hidden="1" builtinId="9"/>
    <cellStyle name="Followed Hyperlink" xfId="6334" hidden="1" builtinId="9"/>
    <cellStyle name="Followed Hyperlink" xfId="6335" hidden="1" builtinId="9"/>
    <cellStyle name="Followed Hyperlink" xfId="6336" hidden="1" builtinId="9"/>
    <cellStyle name="Followed Hyperlink" xfId="6337" hidden="1" builtinId="9"/>
    <cellStyle name="Followed Hyperlink" xfId="6338" hidden="1" builtinId="9"/>
    <cellStyle name="Followed Hyperlink" xfId="6339" hidden="1" builtinId="9"/>
    <cellStyle name="Followed Hyperlink" xfId="6340" hidden="1" builtinId="9"/>
    <cellStyle name="Followed Hyperlink" xfId="6341" hidden="1" builtinId="9"/>
    <cellStyle name="Followed Hyperlink" xfId="6342" hidden="1" builtinId="9"/>
    <cellStyle name="Followed Hyperlink" xfId="6343" hidden="1" builtinId="9"/>
    <cellStyle name="Followed Hyperlink" xfId="6344" hidden="1" builtinId="9"/>
    <cellStyle name="Followed Hyperlink" xfId="6345" hidden="1" builtinId="9"/>
    <cellStyle name="Followed Hyperlink" xfId="6346" hidden="1" builtinId="9"/>
    <cellStyle name="Followed Hyperlink" xfId="6347" hidden="1" builtinId="9"/>
    <cellStyle name="Followed Hyperlink" xfId="6348" hidden="1" builtinId="9"/>
    <cellStyle name="Followed Hyperlink" xfId="6349" hidden="1" builtinId="9"/>
    <cellStyle name="Followed Hyperlink" xfId="6350" hidden="1" builtinId="9"/>
    <cellStyle name="Followed Hyperlink" xfId="6351" hidden="1" builtinId="9"/>
    <cellStyle name="Followed Hyperlink" xfId="6352" hidden="1" builtinId="9"/>
    <cellStyle name="Followed Hyperlink" xfId="6353" hidden="1" builtinId="9"/>
    <cellStyle name="Followed Hyperlink" xfId="6354" hidden="1" builtinId="9"/>
    <cellStyle name="Followed Hyperlink" xfId="6355" hidden="1" builtinId="9"/>
    <cellStyle name="Followed Hyperlink" xfId="6356" hidden="1" builtinId="9"/>
    <cellStyle name="Followed Hyperlink" xfId="6357" hidden="1" builtinId="9"/>
    <cellStyle name="Followed Hyperlink" xfId="6358" hidden="1" builtinId="9"/>
    <cellStyle name="Followed Hyperlink" xfId="6359" hidden="1" builtinId="9"/>
    <cellStyle name="Followed Hyperlink" xfId="6360" hidden="1" builtinId="9"/>
    <cellStyle name="Followed Hyperlink" xfId="6361" hidden="1" builtinId="9"/>
    <cellStyle name="Followed Hyperlink" xfId="6362" hidden="1" builtinId="9"/>
    <cellStyle name="Followed Hyperlink" xfId="6363" hidden="1" builtinId="9"/>
    <cellStyle name="Followed Hyperlink" xfId="6364" hidden="1" builtinId="9"/>
    <cellStyle name="Followed Hyperlink" xfId="6365" hidden="1" builtinId="9"/>
    <cellStyle name="Followed Hyperlink" xfId="6366" hidden="1" builtinId="9"/>
    <cellStyle name="Followed Hyperlink" xfId="6367" hidden="1" builtinId="9"/>
    <cellStyle name="Followed Hyperlink" xfId="6368" hidden="1" builtinId="9"/>
    <cellStyle name="Followed Hyperlink" xfId="6369" hidden="1" builtinId="9"/>
    <cellStyle name="Followed Hyperlink" xfId="6370" hidden="1" builtinId="9"/>
    <cellStyle name="Followed Hyperlink" xfId="6371" hidden="1" builtinId="9"/>
    <cellStyle name="Followed Hyperlink" xfId="6372" hidden="1" builtinId="9"/>
    <cellStyle name="Followed Hyperlink" xfId="6373" hidden="1" builtinId="9"/>
    <cellStyle name="Followed Hyperlink" xfId="6374" hidden="1" builtinId="9"/>
    <cellStyle name="Followed Hyperlink" xfId="6375" hidden="1" builtinId="9"/>
    <cellStyle name="Followed Hyperlink" xfId="6376" hidden="1" builtinId="9"/>
    <cellStyle name="Followed Hyperlink" xfId="6377" hidden="1" builtinId="9"/>
    <cellStyle name="Followed Hyperlink" xfId="6378" hidden="1" builtinId="9"/>
    <cellStyle name="Followed Hyperlink" xfId="6379" hidden="1" builtinId="9"/>
    <cellStyle name="Followed Hyperlink" xfId="6380" hidden="1" builtinId="9"/>
    <cellStyle name="Followed Hyperlink" xfId="6381" hidden="1" builtinId="9"/>
    <cellStyle name="Followed Hyperlink" xfId="6382" hidden="1" builtinId="9"/>
    <cellStyle name="Followed Hyperlink" xfId="6383" hidden="1" builtinId="9"/>
    <cellStyle name="Followed Hyperlink" xfId="6384" hidden="1" builtinId="9"/>
    <cellStyle name="Followed Hyperlink" xfId="6385" hidden="1" builtinId="9"/>
    <cellStyle name="Followed Hyperlink" xfId="6386" hidden="1" builtinId="9"/>
    <cellStyle name="Followed Hyperlink" xfId="6387" hidden="1" builtinId="9"/>
    <cellStyle name="Followed Hyperlink" xfId="6388" hidden="1" builtinId="9"/>
    <cellStyle name="Followed Hyperlink" xfId="6389" hidden="1" builtinId="9"/>
    <cellStyle name="Followed Hyperlink" xfId="6390" hidden="1" builtinId="9"/>
    <cellStyle name="Followed Hyperlink" xfId="6391" hidden="1" builtinId="9"/>
    <cellStyle name="Followed Hyperlink" xfId="6392" hidden="1" builtinId="9"/>
    <cellStyle name="Followed Hyperlink" xfId="6393" hidden="1" builtinId="9"/>
    <cellStyle name="Followed Hyperlink" xfId="6394" hidden="1" builtinId="9"/>
    <cellStyle name="Followed Hyperlink" xfId="6395" hidden="1" builtinId="9"/>
    <cellStyle name="Followed Hyperlink" xfId="6396" hidden="1" builtinId="9"/>
    <cellStyle name="Followed Hyperlink" xfId="6397" hidden="1" builtinId="9"/>
    <cellStyle name="Followed Hyperlink" xfId="6398" hidden="1" builtinId="9"/>
    <cellStyle name="Followed Hyperlink" xfId="6399" hidden="1" builtinId="9"/>
    <cellStyle name="Followed Hyperlink" xfId="6400" hidden="1" builtinId="9"/>
    <cellStyle name="Followed Hyperlink" xfId="6401" hidden="1" builtinId="9"/>
    <cellStyle name="Followed Hyperlink" xfId="6402" hidden="1" builtinId="9"/>
    <cellStyle name="Followed Hyperlink" xfId="6403" hidden="1" builtinId="9"/>
    <cellStyle name="Followed Hyperlink" xfId="6404" hidden="1" builtinId="9"/>
    <cellStyle name="Followed Hyperlink" xfId="6405" hidden="1" builtinId="9"/>
    <cellStyle name="Followed Hyperlink" xfId="6406" hidden="1" builtinId="9"/>
    <cellStyle name="Followed Hyperlink" xfId="6407" hidden="1" builtinId="9"/>
    <cellStyle name="Followed Hyperlink" xfId="6408" hidden="1" builtinId="9"/>
    <cellStyle name="Followed Hyperlink" xfId="6409" hidden="1" builtinId="9"/>
    <cellStyle name="Followed Hyperlink" xfId="6410" hidden="1" builtinId="9"/>
    <cellStyle name="Followed Hyperlink" xfId="6411" hidden="1" builtinId="9"/>
    <cellStyle name="Followed Hyperlink" xfId="6412" hidden="1" builtinId="9"/>
    <cellStyle name="Followed Hyperlink" xfId="6413" hidden="1" builtinId="9"/>
    <cellStyle name="Followed Hyperlink" xfId="6414" hidden="1" builtinId="9"/>
    <cellStyle name="Followed Hyperlink" xfId="6415" hidden="1" builtinId="9"/>
    <cellStyle name="Followed Hyperlink" xfId="6416" hidden="1" builtinId="9"/>
    <cellStyle name="Followed Hyperlink" xfId="6417" hidden="1" builtinId="9"/>
    <cellStyle name="Followed Hyperlink" xfId="6418" hidden="1" builtinId="9"/>
    <cellStyle name="Followed Hyperlink" xfId="6419" hidden="1" builtinId="9"/>
    <cellStyle name="Followed Hyperlink" xfId="6420" hidden="1" builtinId="9"/>
    <cellStyle name="Followed Hyperlink" xfId="6421" hidden="1" builtinId="9"/>
    <cellStyle name="Followed Hyperlink" xfId="6422" hidden="1" builtinId="9"/>
    <cellStyle name="Followed Hyperlink" xfId="6423" hidden="1" builtinId="9"/>
    <cellStyle name="Followed Hyperlink" xfId="6424" hidden="1" builtinId="9"/>
    <cellStyle name="Followed Hyperlink" xfId="6425" hidden="1" builtinId="9"/>
    <cellStyle name="Followed Hyperlink" xfId="6426" hidden="1" builtinId="9"/>
    <cellStyle name="Followed Hyperlink" xfId="6427" hidden="1" builtinId="9"/>
    <cellStyle name="Followed Hyperlink" xfId="6428" hidden="1" builtinId="9"/>
    <cellStyle name="Followed Hyperlink" xfId="6429" hidden="1" builtinId="9"/>
    <cellStyle name="Followed Hyperlink" xfId="6430" hidden="1" builtinId="9"/>
    <cellStyle name="Followed Hyperlink" xfId="6431" hidden="1" builtinId="9"/>
    <cellStyle name="Followed Hyperlink" xfId="6432" hidden="1" builtinId="9"/>
    <cellStyle name="Followed Hyperlink" xfId="6433" hidden="1" builtinId="9"/>
    <cellStyle name="Followed Hyperlink" xfId="6434" hidden="1" builtinId="9"/>
    <cellStyle name="Followed Hyperlink" xfId="6435" hidden="1" builtinId="9"/>
    <cellStyle name="Followed Hyperlink" xfId="6436" hidden="1" builtinId="9"/>
    <cellStyle name="Followed Hyperlink" xfId="6437" hidden="1" builtinId="9"/>
    <cellStyle name="Followed Hyperlink" xfId="6438" hidden="1" builtinId="9"/>
    <cellStyle name="Followed Hyperlink" xfId="6439" hidden="1" builtinId="9"/>
    <cellStyle name="Followed Hyperlink" xfId="6440" hidden="1" builtinId="9"/>
    <cellStyle name="Followed Hyperlink" xfId="6441" hidden="1" builtinId="9"/>
    <cellStyle name="Followed Hyperlink" xfId="6442" hidden="1" builtinId="9"/>
    <cellStyle name="Followed Hyperlink" xfId="6443" hidden="1" builtinId="9"/>
    <cellStyle name="Followed Hyperlink" xfId="6444" hidden="1" builtinId="9"/>
    <cellStyle name="Followed Hyperlink" xfId="6445" hidden="1" builtinId="9"/>
    <cellStyle name="Followed Hyperlink" xfId="6446" hidden="1" builtinId="9"/>
    <cellStyle name="Followed Hyperlink" xfId="6447" hidden="1" builtinId="9"/>
    <cellStyle name="Followed Hyperlink" xfId="6448" hidden="1" builtinId="9"/>
    <cellStyle name="Followed Hyperlink" xfId="6449" hidden="1" builtinId="9"/>
    <cellStyle name="Followed Hyperlink" xfId="6450" hidden="1" builtinId="9"/>
    <cellStyle name="Followed Hyperlink" xfId="6451" hidden="1" builtinId="9"/>
    <cellStyle name="Followed Hyperlink" xfId="6452" hidden="1" builtinId="9"/>
    <cellStyle name="Followed Hyperlink" xfId="6453" hidden="1" builtinId="9"/>
    <cellStyle name="Followed Hyperlink" xfId="6454" hidden="1" builtinId="9"/>
    <cellStyle name="Followed Hyperlink" xfId="6455" hidden="1" builtinId="9"/>
    <cellStyle name="Followed Hyperlink" xfId="6456" hidden="1" builtinId="9"/>
    <cellStyle name="Followed Hyperlink" xfId="6457" hidden="1" builtinId="9"/>
    <cellStyle name="Followed Hyperlink" xfId="6458" hidden="1" builtinId="9"/>
    <cellStyle name="Followed Hyperlink" xfId="6459" hidden="1" builtinId="9"/>
    <cellStyle name="Followed Hyperlink" xfId="6460" hidden="1" builtinId="9"/>
    <cellStyle name="Followed Hyperlink" xfId="6461" hidden="1" builtinId="9"/>
    <cellStyle name="Followed Hyperlink" xfId="6462" hidden="1" builtinId="9"/>
    <cellStyle name="Followed Hyperlink" xfId="6463" hidden="1" builtinId="9"/>
    <cellStyle name="Followed Hyperlink" xfId="6464" hidden="1" builtinId="9"/>
    <cellStyle name="Followed Hyperlink" xfId="6465" hidden="1" builtinId="9"/>
    <cellStyle name="Followed Hyperlink" xfId="6466" hidden="1" builtinId="9"/>
    <cellStyle name="Followed Hyperlink" xfId="6467" hidden="1" builtinId="9"/>
    <cellStyle name="Followed Hyperlink" xfId="6468" hidden="1" builtinId="9"/>
    <cellStyle name="Followed Hyperlink" xfId="6469" hidden="1" builtinId="9"/>
    <cellStyle name="Followed Hyperlink" xfId="6470" hidden="1" builtinId="9"/>
    <cellStyle name="Followed Hyperlink" xfId="6471" hidden="1" builtinId="9"/>
    <cellStyle name="Followed Hyperlink" xfId="6472" hidden="1" builtinId="9"/>
    <cellStyle name="Followed Hyperlink" xfId="6473" hidden="1" builtinId="9"/>
    <cellStyle name="Followed Hyperlink" xfId="6474" hidden="1" builtinId="9"/>
    <cellStyle name="Followed Hyperlink" xfId="6475" hidden="1" builtinId="9"/>
    <cellStyle name="Followed Hyperlink" xfId="6476" hidden="1" builtinId="9"/>
    <cellStyle name="Followed Hyperlink" xfId="6477" hidden="1" builtinId="9"/>
    <cellStyle name="Followed Hyperlink" xfId="6478" hidden="1" builtinId="9"/>
    <cellStyle name="Followed Hyperlink" xfId="6479" hidden="1" builtinId="9"/>
    <cellStyle name="Followed Hyperlink" xfId="6480" hidden="1" builtinId="9"/>
    <cellStyle name="Followed Hyperlink" xfId="6481" hidden="1" builtinId="9"/>
    <cellStyle name="Followed Hyperlink" xfId="6482" hidden="1" builtinId="9"/>
    <cellStyle name="Followed Hyperlink" xfId="6483" hidden="1" builtinId="9"/>
    <cellStyle name="Followed Hyperlink" xfId="6484" hidden="1" builtinId="9"/>
    <cellStyle name="Followed Hyperlink" xfId="6485" hidden="1" builtinId="9"/>
    <cellStyle name="Followed Hyperlink" xfId="6486" hidden="1" builtinId="9"/>
    <cellStyle name="Followed Hyperlink" xfId="6487" hidden="1" builtinId="9"/>
    <cellStyle name="Followed Hyperlink" xfId="6488" hidden="1" builtinId="9"/>
    <cellStyle name="Followed Hyperlink" xfId="6489" hidden="1" builtinId="9"/>
    <cellStyle name="Followed Hyperlink" xfId="6490" hidden="1" builtinId="9"/>
    <cellStyle name="Followed Hyperlink" xfId="6491" hidden="1" builtinId="9"/>
    <cellStyle name="Followed Hyperlink" xfId="6492" hidden="1" builtinId="9"/>
    <cellStyle name="Followed Hyperlink" xfId="6493" hidden="1" builtinId="9"/>
    <cellStyle name="Followed Hyperlink" xfId="6494" hidden="1" builtinId="9"/>
    <cellStyle name="Followed Hyperlink" xfId="6495" hidden="1" builtinId="9"/>
    <cellStyle name="Followed Hyperlink" xfId="6496" hidden="1" builtinId="9"/>
    <cellStyle name="Followed Hyperlink" xfId="6497" hidden="1" builtinId="9"/>
    <cellStyle name="Followed Hyperlink" xfId="6498" hidden="1" builtinId="9"/>
    <cellStyle name="Followed Hyperlink" xfId="6499" hidden="1" builtinId="9"/>
    <cellStyle name="Followed Hyperlink" xfId="6500" hidden="1" builtinId="9"/>
    <cellStyle name="Followed Hyperlink" xfId="6501" hidden="1" builtinId="9"/>
    <cellStyle name="Followed Hyperlink" xfId="6502" hidden="1" builtinId="9"/>
    <cellStyle name="Followed Hyperlink" xfId="6503" hidden="1" builtinId="9"/>
    <cellStyle name="Followed Hyperlink" xfId="6504" hidden="1" builtinId="9"/>
    <cellStyle name="Followed Hyperlink" xfId="6505" hidden="1" builtinId="9"/>
    <cellStyle name="Followed Hyperlink" xfId="6506" hidden="1" builtinId="9"/>
    <cellStyle name="Followed Hyperlink" xfId="6507" hidden="1" builtinId="9"/>
    <cellStyle name="Followed Hyperlink" xfId="6508" hidden="1" builtinId="9"/>
    <cellStyle name="Followed Hyperlink" xfId="6509" hidden="1" builtinId="9"/>
    <cellStyle name="Followed Hyperlink" xfId="6510" hidden="1" builtinId="9"/>
    <cellStyle name="Followed Hyperlink" xfId="6511" hidden="1" builtinId="9"/>
    <cellStyle name="Followed Hyperlink" xfId="6512" hidden="1" builtinId="9"/>
    <cellStyle name="Followed Hyperlink" xfId="6513" hidden="1" builtinId="9"/>
    <cellStyle name="Followed Hyperlink" xfId="6514" hidden="1" builtinId="9"/>
    <cellStyle name="Followed Hyperlink" xfId="6515" hidden="1" builtinId="9"/>
    <cellStyle name="Followed Hyperlink" xfId="6516" hidden="1" builtinId="9"/>
    <cellStyle name="Followed Hyperlink" xfId="6517" hidden="1" builtinId="9"/>
    <cellStyle name="Followed Hyperlink" xfId="6518" hidden="1" builtinId="9"/>
    <cellStyle name="Followed Hyperlink" xfId="6519" hidden="1" builtinId="9"/>
    <cellStyle name="Followed Hyperlink" xfId="6520" hidden="1" builtinId="9"/>
    <cellStyle name="Followed Hyperlink" xfId="6521" hidden="1" builtinId="9"/>
    <cellStyle name="Followed Hyperlink" xfId="6522" hidden="1" builtinId="9"/>
    <cellStyle name="Followed Hyperlink" xfId="6523" hidden="1" builtinId="9"/>
    <cellStyle name="Followed Hyperlink" xfId="6524" hidden="1" builtinId="9"/>
    <cellStyle name="Followed Hyperlink" xfId="6525" hidden="1" builtinId="9"/>
    <cellStyle name="Followed Hyperlink" xfId="6526" hidden="1" builtinId="9"/>
    <cellStyle name="Followed Hyperlink" xfId="6527" hidden="1" builtinId="9"/>
    <cellStyle name="Followed Hyperlink" xfId="6528" hidden="1" builtinId="9"/>
    <cellStyle name="Followed Hyperlink" xfId="6529" hidden="1" builtinId="9"/>
    <cellStyle name="Followed Hyperlink" xfId="6530" hidden="1" builtinId="9"/>
    <cellStyle name="Followed Hyperlink" xfId="6531" hidden="1" builtinId="9"/>
    <cellStyle name="Followed Hyperlink" xfId="6532" hidden="1" builtinId="9"/>
    <cellStyle name="Followed Hyperlink" xfId="6533" hidden="1" builtinId="9"/>
    <cellStyle name="Followed Hyperlink" xfId="6534" hidden="1" builtinId="9"/>
    <cellStyle name="Followed Hyperlink" xfId="6535" hidden="1" builtinId="9"/>
    <cellStyle name="Followed Hyperlink" xfId="6536" hidden="1" builtinId="9"/>
    <cellStyle name="Followed Hyperlink" xfId="6537" hidden="1" builtinId="9"/>
    <cellStyle name="Followed Hyperlink" xfId="6538" hidden="1" builtinId="9"/>
    <cellStyle name="Followed Hyperlink" xfId="6539" hidden="1" builtinId="9"/>
    <cellStyle name="Followed Hyperlink" xfId="6540" hidden="1" builtinId="9"/>
    <cellStyle name="Followed Hyperlink" xfId="6541" hidden="1" builtinId="9"/>
    <cellStyle name="Followed Hyperlink" xfId="6542" hidden="1" builtinId="9"/>
    <cellStyle name="Followed Hyperlink" xfId="6543" hidden="1" builtinId="9"/>
    <cellStyle name="Followed Hyperlink" xfId="6544" hidden="1" builtinId="9"/>
    <cellStyle name="Followed Hyperlink" xfId="6545" hidden="1" builtinId="9"/>
    <cellStyle name="Followed Hyperlink" xfId="6546" hidden="1" builtinId="9"/>
    <cellStyle name="Followed Hyperlink" xfId="6547" hidden="1" builtinId="9"/>
    <cellStyle name="Followed Hyperlink" xfId="6548" hidden="1" builtinId="9"/>
    <cellStyle name="Followed Hyperlink" xfId="6549" hidden="1" builtinId="9"/>
    <cellStyle name="Followed Hyperlink" xfId="6550" hidden="1" builtinId="9"/>
    <cellStyle name="Followed Hyperlink" xfId="6551" hidden="1" builtinId="9"/>
    <cellStyle name="Followed Hyperlink" xfId="6552" hidden="1" builtinId="9"/>
    <cellStyle name="Followed Hyperlink" xfId="6553" hidden="1" builtinId="9"/>
    <cellStyle name="Followed Hyperlink" xfId="6554" hidden="1" builtinId="9"/>
    <cellStyle name="Followed Hyperlink" xfId="6555" hidden="1" builtinId="9"/>
    <cellStyle name="Followed Hyperlink" xfId="6556" hidden="1" builtinId="9"/>
    <cellStyle name="Followed Hyperlink" xfId="6557" hidden="1" builtinId="9"/>
    <cellStyle name="Followed Hyperlink" xfId="6558" hidden="1" builtinId="9"/>
    <cellStyle name="Followed Hyperlink" xfId="6559" hidden="1" builtinId="9"/>
    <cellStyle name="Followed Hyperlink" xfId="6560" hidden="1" builtinId="9"/>
    <cellStyle name="Followed Hyperlink" xfId="6561" hidden="1" builtinId="9"/>
    <cellStyle name="Followed Hyperlink" xfId="6562" hidden="1" builtinId="9"/>
    <cellStyle name="Followed Hyperlink" xfId="6563" hidden="1" builtinId="9"/>
    <cellStyle name="Followed Hyperlink" xfId="6564" hidden="1" builtinId="9"/>
    <cellStyle name="Followed Hyperlink" xfId="6565" hidden="1" builtinId="9"/>
    <cellStyle name="Followed Hyperlink" xfId="6566" hidden="1" builtinId="9"/>
    <cellStyle name="Followed Hyperlink" xfId="6567" hidden="1" builtinId="9"/>
    <cellStyle name="Followed Hyperlink" xfId="6568" hidden="1" builtinId="9"/>
    <cellStyle name="Followed Hyperlink" xfId="6569" hidden="1" builtinId="9"/>
    <cellStyle name="Followed Hyperlink" xfId="6570" hidden="1" builtinId="9"/>
    <cellStyle name="Followed Hyperlink" xfId="6571" hidden="1" builtinId="9"/>
    <cellStyle name="Followed Hyperlink" xfId="6572" hidden="1" builtinId="9"/>
    <cellStyle name="Followed Hyperlink" xfId="6573" hidden="1" builtinId="9"/>
    <cellStyle name="Followed Hyperlink" xfId="6574" hidden="1" builtinId="9"/>
    <cellStyle name="Followed Hyperlink" xfId="6575" hidden="1" builtinId="9"/>
    <cellStyle name="Followed Hyperlink" xfId="6576" hidden="1" builtinId="9"/>
    <cellStyle name="Followed Hyperlink" xfId="6577" hidden="1" builtinId="9"/>
    <cellStyle name="Followed Hyperlink" xfId="6578" hidden="1" builtinId="9"/>
    <cellStyle name="Followed Hyperlink" xfId="6579" hidden="1" builtinId="9"/>
    <cellStyle name="Followed Hyperlink" xfId="6580" hidden="1" builtinId="9"/>
    <cellStyle name="Followed Hyperlink" xfId="6581" hidden="1" builtinId="9"/>
    <cellStyle name="Followed Hyperlink" xfId="6582" hidden="1" builtinId="9"/>
    <cellStyle name="Followed Hyperlink" xfId="6583" hidden="1" builtinId="9"/>
    <cellStyle name="Followed Hyperlink" xfId="6584" hidden="1" builtinId="9"/>
    <cellStyle name="Followed Hyperlink" xfId="6585" hidden="1" builtinId="9"/>
    <cellStyle name="Followed Hyperlink" xfId="6586" hidden="1" builtinId="9"/>
    <cellStyle name="Followed Hyperlink" xfId="6587" hidden="1" builtinId="9"/>
    <cellStyle name="Followed Hyperlink" xfId="6588" hidden="1" builtinId="9"/>
    <cellStyle name="Followed Hyperlink" xfId="6589" hidden="1" builtinId="9"/>
    <cellStyle name="Followed Hyperlink" xfId="6590" hidden="1" builtinId="9"/>
    <cellStyle name="Followed Hyperlink" xfId="6591" hidden="1" builtinId="9"/>
    <cellStyle name="Followed Hyperlink" xfId="6592" hidden="1" builtinId="9"/>
    <cellStyle name="Followed Hyperlink" xfId="6593" hidden="1" builtinId="9"/>
    <cellStyle name="Followed Hyperlink" xfId="6594" hidden="1" builtinId="9"/>
    <cellStyle name="Followed Hyperlink" xfId="6595" hidden="1" builtinId="9"/>
    <cellStyle name="Followed Hyperlink" xfId="6596" hidden="1" builtinId="9"/>
    <cellStyle name="Followed Hyperlink" xfId="6597" hidden="1" builtinId="9"/>
    <cellStyle name="Followed Hyperlink" xfId="6598" hidden="1" builtinId="9"/>
    <cellStyle name="Followed Hyperlink" xfId="6599" hidden="1" builtinId="9"/>
    <cellStyle name="Followed Hyperlink" xfId="6600" hidden="1" builtinId="9"/>
    <cellStyle name="Followed Hyperlink" xfId="6601" hidden="1" builtinId="9"/>
    <cellStyle name="Followed Hyperlink" xfId="6602" hidden="1" builtinId="9"/>
    <cellStyle name="Followed Hyperlink" xfId="6603" hidden="1" builtinId="9"/>
    <cellStyle name="Followed Hyperlink" xfId="6604" hidden="1" builtinId="9"/>
    <cellStyle name="Followed Hyperlink" xfId="6605" hidden="1" builtinId="9"/>
    <cellStyle name="Followed Hyperlink" xfId="6606" hidden="1" builtinId="9"/>
    <cellStyle name="Followed Hyperlink" xfId="6607" hidden="1" builtinId="9"/>
    <cellStyle name="Followed Hyperlink" xfId="6608" hidden="1" builtinId="9"/>
    <cellStyle name="Followed Hyperlink" xfId="6609" hidden="1" builtinId="9"/>
    <cellStyle name="Followed Hyperlink" xfId="6610" hidden="1" builtinId="9"/>
    <cellStyle name="Followed Hyperlink" xfId="6611" hidden="1" builtinId="9"/>
    <cellStyle name="Followed Hyperlink" xfId="6612" hidden="1" builtinId="9"/>
    <cellStyle name="Followed Hyperlink" xfId="6613" hidden="1" builtinId="9"/>
    <cellStyle name="Followed Hyperlink" xfId="6614" hidden="1" builtinId="9"/>
    <cellStyle name="Followed Hyperlink" xfId="6615" hidden="1" builtinId="9"/>
    <cellStyle name="Followed Hyperlink" xfId="6616" hidden="1" builtinId="9"/>
    <cellStyle name="Followed Hyperlink" xfId="6617" hidden="1" builtinId="9"/>
    <cellStyle name="Followed Hyperlink" xfId="6618" hidden="1" builtinId="9"/>
    <cellStyle name="Followed Hyperlink" xfId="6619" hidden="1" builtinId="9"/>
    <cellStyle name="Followed Hyperlink" xfId="6620" hidden="1" builtinId="9"/>
    <cellStyle name="Followed Hyperlink" xfId="6621" hidden="1" builtinId="9"/>
    <cellStyle name="Followed Hyperlink" xfId="6622" hidden="1" builtinId="9"/>
    <cellStyle name="Followed Hyperlink" xfId="6623" hidden="1" builtinId="9"/>
    <cellStyle name="Followed Hyperlink" xfId="6624" hidden="1" builtinId="9"/>
    <cellStyle name="Followed Hyperlink" xfId="6625" hidden="1" builtinId="9"/>
    <cellStyle name="Followed Hyperlink" xfId="6626" hidden="1" builtinId="9"/>
    <cellStyle name="Followed Hyperlink" xfId="6627" hidden="1" builtinId="9"/>
    <cellStyle name="Followed Hyperlink" xfId="6628" hidden="1" builtinId="9"/>
    <cellStyle name="Followed Hyperlink" xfId="6629" hidden="1" builtinId="9"/>
    <cellStyle name="Followed Hyperlink" xfId="6630" hidden="1" builtinId="9"/>
    <cellStyle name="Followed Hyperlink" xfId="6631" hidden="1" builtinId="9"/>
    <cellStyle name="Followed Hyperlink" xfId="6632" hidden="1" builtinId="9"/>
    <cellStyle name="Followed Hyperlink" xfId="6633" hidden="1" builtinId="9"/>
    <cellStyle name="Followed Hyperlink" xfId="6634" hidden="1" builtinId="9"/>
    <cellStyle name="Followed Hyperlink" xfId="6635" hidden="1" builtinId="9"/>
    <cellStyle name="Followed Hyperlink" xfId="6636" hidden="1" builtinId="9"/>
    <cellStyle name="Followed Hyperlink" xfId="6637" hidden="1" builtinId="9"/>
    <cellStyle name="Followed Hyperlink" xfId="6638" hidden="1" builtinId="9"/>
    <cellStyle name="Followed Hyperlink" xfId="6639" hidden="1" builtinId="9"/>
    <cellStyle name="Followed Hyperlink" xfId="6640" hidden="1" builtinId="9"/>
    <cellStyle name="Followed Hyperlink" xfId="6641" hidden="1" builtinId="9"/>
    <cellStyle name="Followed Hyperlink" xfId="6642" hidden="1" builtinId="9"/>
    <cellStyle name="Followed Hyperlink" xfId="6643" hidden="1" builtinId="9"/>
    <cellStyle name="Followed Hyperlink" xfId="6644" hidden="1" builtinId="9"/>
    <cellStyle name="Followed Hyperlink" xfId="6645" hidden="1" builtinId="9"/>
    <cellStyle name="Followed Hyperlink" xfId="6646" hidden="1" builtinId="9"/>
    <cellStyle name="Followed Hyperlink" xfId="6647" hidden="1" builtinId="9"/>
    <cellStyle name="Followed Hyperlink" xfId="6648" hidden="1" builtinId="9"/>
    <cellStyle name="Followed Hyperlink" xfId="6649" hidden="1" builtinId="9"/>
    <cellStyle name="Followed Hyperlink" xfId="6650" hidden="1" builtinId="9"/>
    <cellStyle name="Followed Hyperlink" xfId="6651" hidden="1" builtinId="9"/>
    <cellStyle name="Followed Hyperlink" xfId="6652" hidden="1" builtinId="9"/>
    <cellStyle name="Followed Hyperlink" xfId="6653" hidden="1" builtinId="9"/>
    <cellStyle name="Followed Hyperlink" xfId="6654" hidden="1" builtinId="9"/>
    <cellStyle name="Followed Hyperlink" xfId="6655" hidden="1" builtinId="9"/>
    <cellStyle name="Followed Hyperlink" xfId="6656" hidden="1" builtinId="9"/>
    <cellStyle name="Followed Hyperlink" xfId="6657" hidden="1" builtinId="9"/>
    <cellStyle name="Followed Hyperlink" xfId="6658" hidden="1" builtinId="9"/>
    <cellStyle name="Followed Hyperlink" xfId="6659" hidden="1" builtinId="9"/>
    <cellStyle name="Followed Hyperlink" xfId="6660" hidden="1" builtinId="9"/>
    <cellStyle name="Followed Hyperlink" xfId="6661" hidden="1" builtinId="9"/>
    <cellStyle name="Followed Hyperlink" xfId="6662" hidden="1" builtinId="9"/>
    <cellStyle name="Followed Hyperlink" xfId="6663" hidden="1" builtinId="9"/>
    <cellStyle name="Followed Hyperlink" xfId="6664" hidden="1" builtinId="9"/>
    <cellStyle name="Followed Hyperlink" xfId="6665" hidden="1" builtinId="9"/>
    <cellStyle name="Followed Hyperlink" xfId="6666" hidden="1" builtinId="9"/>
    <cellStyle name="Followed Hyperlink" xfId="6667" hidden="1" builtinId="9"/>
    <cellStyle name="Followed Hyperlink" xfId="6668" hidden="1" builtinId="9"/>
    <cellStyle name="Followed Hyperlink" xfId="6669" hidden="1" builtinId="9"/>
    <cellStyle name="Followed Hyperlink" xfId="6670" hidden="1" builtinId="9"/>
    <cellStyle name="Followed Hyperlink" xfId="6671" hidden="1" builtinId="9"/>
    <cellStyle name="Followed Hyperlink" xfId="6672" hidden="1" builtinId="9"/>
    <cellStyle name="Followed Hyperlink" xfId="6673" hidden="1" builtinId="9"/>
    <cellStyle name="Followed Hyperlink" xfId="6674" hidden="1" builtinId="9"/>
    <cellStyle name="Followed Hyperlink" xfId="6675" hidden="1" builtinId="9"/>
    <cellStyle name="Followed Hyperlink" xfId="6676" hidden="1" builtinId="9"/>
    <cellStyle name="Followed Hyperlink" xfId="6677" hidden="1" builtinId="9"/>
    <cellStyle name="Followed Hyperlink" xfId="6678" hidden="1" builtinId="9"/>
    <cellStyle name="Followed Hyperlink" xfId="6679" hidden="1" builtinId="9"/>
    <cellStyle name="Followed Hyperlink" xfId="6680" hidden="1" builtinId="9"/>
    <cellStyle name="Followed Hyperlink" xfId="6681" hidden="1" builtinId="9"/>
    <cellStyle name="Followed Hyperlink" xfId="6682" hidden="1" builtinId="9"/>
    <cellStyle name="Followed Hyperlink" xfId="6683" hidden="1" builtinId="9"/>
    <cellStyle name="Followed Hyperlink" xfId="6684" hidden="1" builtinId="9"/>
    <cellStyle name="Followed Hyperlink" xfId="6685" hidden="1" builtinId="9"/>
    <cellStyle name="Followed Hyperlink" xfId="6686" hidden="1" builtinId="9"/>
    <cellStyle name="Followed Hyperlink" xfId="6687" hidden="1" builtinId="9"/>
    <cellStyle name="Followed Hyperlink" xfId="6688" hidden="1" builtinId="9"/>
    <cellStyle name="Followed Hyperlink" xfId="6689" hidden="1" builtinId="9"/>
    <cellStyle name="Followed Hyperlink" xfId="6690" hidden="1" builtinId="9"/>
    <cellStyle name="Followed Hyperlink" xfId="6691" hidden="1" builtinId="9"/>
    <cellStyle name="Followed Hyperlink" xfId="6692" hidden="1" builtinId="9"/>
    <cellStyle name="Followed Hyperlink" xfId="6693" hidden="1" builtinId="9"/>
    <cellStyle name="Followed Hyperlink" xfId="6694" hidden="1" builtinId="9"/>
    <cellStyle name="Followed Hyperlink" xfId="6695" hidden="1" builtinId="9"/>
    <cellStyle name="Followed Hyperlink" xfId="6696" hidden="1" builtinId="9"/>
    <cellStyle name="Followed Hyperlink" xfId="6697" hidden="1" builtinId="9"/>
    <cellStyle name="Followed Hyperlink" xfId="6698" hidden="1" builtinId="9"/>
    <cellStyle name="Followed Hyperlink" xfId="6699" hidden="1" builtinId="9"/>
    <cellStyle name="Followed Hyperlink" xfId="6700" hidden="1" builtinId="9"/>
    <cellStyle name="Followed Hyperlink" xfId="6701" hidden="1" builtinId="9"/>
    <cellStyle name="Followed Hyperlink" xfId="6702" hidden="1" builtinId="9"/>
    <cellStyle name="Followed Hyperlink" xfId="6703" hidden="1" builtinId="9"/>
    <cellStyle name="Followed Hyperlink" xfId="6704" hidden="1" builtinId="9"/>
    <cellStyle name="Followed Hyperlink" xfId="6705" hidden="1" builtinId="9"/>
    <cellStyle name="Followed Hyperlink" xfId="6706" hidden="1" builtinId="9"/>
    <cellStyle name="Followed Hyperlink" xfId="6707" hidden="1" builtinId="9"/>
    <cellStyle name="Followed Hyperlink" xfId="6708" hidden="1" builtinId="9"/>
    <cellStyle name="Followed Hyperlink" xfId="6709" hidden="1" builtinId="9"/>
    <cellStyle name="Followed Hyperlink" xfId="6710" hidden="1" builtinId="9"/>
    <cellStyle name="Followed Hyperlink" xfId="6711" hidden="1" builtinId="9"/>
    <cellStyle name="Followed Hyperlink" xfId="6712" hidden="1" builtinId="9"/>
    <cellStyle name="Followed Hyperlink" xfId="6713" hidden="1" builtinId="9"/>
    <cellStyle name="Followed Hyperlink" xfId="6714" hidden="1" builtinId="9"/>
    <cellStyle name="Followed Hyperlink" xfId="6715" hidden="1" builtinId="9"/>
    <cellStyle name="Followed Hyperlink" xfId="6716" hidden="1" builtinId="9"/>
    <cellStyle name="Followed Hyperlink" xfId="6717" hidden="1" builtinId="9"/>
    <cellStyle name="Followed Hyperlink" xfId="6718" hidden="1" builtinId="9"/>
    <cellStyle name="Followed Hyperlink" xfId="6719" hidden="1" builtinId="9"/>
    <cellStyle name="Followed Hyperlink" xfId="6720" hidden="1" builtinId="9"/>
    <cellStyle name="Followed Hyperlink" xfId="6721" hidden="1" builtinId="9"/>
    <cellStyle name="Followed Hyperlink" xfId="6722" hidden="1" builtinId="9"/>
    <cellStyle name="Followed Hyperlink" xfId="6723" hidden="1" builtinId="9"/>
    <cellStyle name="Followed Hyperlink" xfId="6724" hidden="1" builtinId="9"/>
    <cellStyle name="Followed Hyperlink" xfId="6725" hidden="1" builtinId="9"/>
    <cellStyle name="Followed Hyperlink" xfId="6726" hidden="1" builtinId="9"/>
    <cellStyle name="Followed Hyperlink" xfId="6727" hidden="1" builtinId="9"/>
    <cellStyle name="Followed Hyperlink" xfId="6728" hidden="1" builtinId="9"/>
    <cellStyle name="Followed Hyperlink" xfId="6729" hidden="1" builtinId="9"/>
    <cellStyle name="Followed Hyperlink" xfId="6730" hidden="1" builtinId="9"/>
    <cellStyle name="Followed Hyperlink" xfId="6731" hidden="1" builtinId="9"/>
    <cellStyle name="Followed Hyperlink" xfId="6732" hidden="1" builtinId="9"/>
    <cellStyle name="Followed Hyperlink" xfId="6733" hidden="1" builtinId="9"/>
    <cellStyle name="Followed Hyperlink" xfId="6734" hidden="1" builtinId="9"/>
    <cellStyle name="Followed Hyperlink" xfId="6735" hidden="1" builtinId="9"/>
    <cellStyle name="Followed Hyperlink" xfId="6736" hidden="1" builtinId="9"/>
    <cellStyle name="Followed Hyperlink" xfId="6737" hidden="1" builtinId="9"/>
    <cellStyle name="Followed Hyperlink" xfId="6738" hidden="1" builtinId="9"/>
    <cellStyle name="Followed Hyperlink" xfId="6739" hidden="1" builtinId="9"/>
    <cellStyle name="Followed Hyperlink" xfId="6740" hidden="1" builtinId="9"/>
    <cellStyle name="Followed Hyperlink" xfId="6741" hidden="1" builtinId="9"/>
    <cellStyle name="Followed Hyperlink" xfId="6742" hidden="1" builtinId="9"/>
    <cellStyle name="Followed Hyperlink" xfId="6743" hidden="1" builtinId="9"/>
    <cellStyle name="Followed Hyperlink" xfId="6744" hidden="1" builtinId="9"/>
    <cellStyle name="Followed Hyperlink" xfId="6745" hidden="1" builtinId="9"/>
    <cellStyle name="Followed Hyperlink" xfId="6746" hidden="1" builtinId="9"/>
    <cellStyle name="Followed Hyperlink" xfId="6747" hidden="1" builtinId="9"/>
    <cellStyle name="Followed Hyperlink" xfId="6748" hidden="1" builtinId="9"/>
    <cellStyle name="Followed Hyperlink" xfId="6749" hidden="1" builtinId="9"/>
    <cellStyle name="Followed Hyperlink" xfId="6750" hidden="1" builtinId="9"/>
    <cellStyle name="Followed Hyperlink" xfId="6751" hidden="1" builtinId="9"/>
    <cellStyle name="Followed Hyperlink" xfId="6752" hidden="1" builtinId="9"/>
    <cellStyle name="Followed Hyperlink" xfId="6753" hidden="1" builtinId="9"/>
    <cellStyle name="Followed Hyperlink" xfId="6754" hidden="1" builtinId="9"/>
    <cellStyle name="Followed Hyperlink" xfId="6755" hidden="1" builtinId="9"/>
    <cellStyle name="Followed Hyperlink" xfId="6756" hidden="1" builtinId="9"/>
    <cellStyle name="Followed Hyperlink" xfId="6757" hidden="1" builtinId="9"/>
    <cellStyle name="Followed Hyperlink" xfId="6758" hidden="1" builtinId="9"/>
    <cellStyle name="Followed Hyperlink" xfId="6759" hidden="1" builtinId="9"/>
    <cellStyle name="Followed Hyperlink" xfId="6760" hidden="1" builtinId="9"/>
    <cellStyle name="Followed Hyperlink" xfId="6761" hidden="1" builtinId="9"/>
    <cellStyle name="Followed Hyperlink" xfId="6762" hidden="1" builtinId="9"/>
    <cellStyle name="Followed Hyperlink" xfId="6763" hidden="1" builtinId="9"/>
    <cellStyle name="Followed Hyperlink" xfId="6764" hidden="1" builtinId="9"/>
    <cellStyle name="Followed Hyperlink" xfId="6765" hidden="1" builtinId="9"/>
    <cellStyle name="Followed Hyperlink" xfId="6766" hidden="1" builtinId="9"/>
    <cellStyle name="Followed Hyperlink" xfId="6767" hidden="1" builtinId="9"/>
    <cellStyle name="Followed Hyperlink" xfId="6768" hidden="1" builtinId="9"/>
    <cellStyle name="Followed Hyperlink" xfId="6769" hidden="1" builtinId="9"/>
    <cellStyle name="Followed Hyperlink" xfId="6770" hidden="1" builtinId="9"/>
    <cellStyle name="Followed Hyperlink" xfId="6771" hidden="1" builtinId="9"/>
    <cellStyle name="Followed Hyperlink" xfId="6772" hidden="1" builtinId="9"/>
    <cellStyle name="Followed Hyperlink" xfId="6773" hidden="1" builtinId="9"/>
    <cellStyle name="Followed Hyperlink" xfId="6774" hidden="1" builtinId="9"/>
    <cellStyle name="Followed Hyperlink" xfId="6775" hidden="1" builtinId="9"/>
    <cellStyle name="Followed Hyperlink" xfId="6776" hidden="1" builtinId="9"/>
    <cellStyle name="Followed Hyperlink" xfId="6777" hidden="1" builtinId="9"/>
    <cellStyle name="Followed Hyperlink" xfId="6778" hidden="1" builtinId="9"/>
    <cellStyle name="Followed Hyperlink" xfId="6779" hidden="1" builtinId="9"/>
    <cellStyle name="Followed Hyperlink" xfId="6780" hidden="1" builtinId="9"/>
    <cellStyle name="Followed Hyperlink" xfId="6781" hidden="1" builtinId="9"/>
    <cellStyle name="Followed Hyperlink" xfId="6782" hidden="1" builtinId="9"/>
    <cellStyle name="Followed Hyperlink" xfId="6783" hidden="1" builtinId="9"/>
    <cellStyle name="Followed Hyperlink" xfId="6784" hidden="1" builtinId="9"/>
    <cellStyle name="Followed Hyperlink" xfId="6785" hidden="1" builtinId="9"/>
    <cellStyle name="Followed Hyperlink" xfId="6786" hidden="1" builtinId="9"/>
    <cellStyle name="Followed Hyperlink" xfId="6787" hidden="1" builtinId="9"/>
    <cellStyle name="Followed Hyperlink" xfId="6788" hidden="1" builtinId="9"/>
    <cellStyle name="Followed Hyperlink" xfId="6789" hidden="1" builtinId="9"/>
    <cellStyle name="Followed Hyperlink" xfId="6790" hidden="1" builtinId="9"/>
    <cellStyle name="Followed Hyperlink" xfId="6791" hidden="1" builtinId="9"/>
    <cellStyle name="Followed Hyperlink" xfId="6792" hidden="1" builtinId="9"/>
    <cellStyle name="Followed Hyperlink" xfId="6793" hidden="1" builtinId="9"/>
    <cellStyle name="Followed Hyperlink" xfId="6794" hidden="1" builtinId="9"/>
    <cellStyle name="Followed Hyperlink" xfId="6795" hidden="1" builtinId="9"/>
    <cellStyle name="Followed Hyperlink" xfId="6796" hidden="1" builtinId="9"/>
    <cellStyle name="Followed Hyperlink" xfId="6797" hidden="1" builtinId="9"/>
    <cellStyle name="Followed Hyperlink" xfId="6798" hidden="1" builtinId="9"/>
    <cellStyle name="Followed Hyperlink" xfId="6799" hidden="1" builtinId="9"/>
    <cellStyle name="Followed Hyperlink" xfId="6800" hidden="1" builtinId="9"/>
    <cellStyle name="Followed Hyperlink" xfId="6801" hidden="1" builtinId="9"/>
    <cellStyle name="Followed Hyperlink" xfId="6802" hidden="1" builtinId="9"/>
    <cellStyle name="Followed Hyperlink" xfId="6803" hidden="1" builtinId="9"/>
    <cellStyle name="Followed Hyperlink" xfId="6804" hidden="1" builtinId="9"/>
    <cellStyle name="Followed Hyperlink" xfId="6805" hidden="1" builtinId="9"/>
    <cellStyle name="Followed Hyperlink" xfId="6806" hidden="1" builtinId="9"/>
    <cellStyle name="Followed Hyperlink" xfId="6807" hidden="1" builtinId="9"/>
    <cellStyle name="Followed Hyperlink" xfId="6808" hidden="1" builtinId="9"/>
    <cellStyle name="Followed Hyperlink" xfId="6809" hidden="1" builtinId="9"/>
    <cellStyle name="Followed Hyperlink" xfId="6810" hidden="1" builtinId="9"/>
    <cellStyle name="Followed Hyperlink" xfId="6811" hidden="1" builtinId="9"/>
    <cellStyle name="Followed Hyperlink" xfId="6812" hidden="1" builtinId="9"/>
    <cellStyle name="Followed Hyperlink" xfId="6813" hidden="1" builtinId="9"/>
    <cellStyle name="Followed Hyperlink" xfId="6814" hidden="1" builtinId="9"/>
    <cellStyle name="Followed Hyperlink" xfId="6815" hidden="1" builtinId="9"/>
    <cellStyle name="Followed Hyperlink" xfId="6816" hidden="1" builtinId="9"/>
    <cellStyle name="Followed Hyperlink" xfId="6817" hidden="1" builtinId="9"/>
    <cellStyle name="Followed Hyperlink" xfId="6818" hidden="1" builtinId="9"/>
    <cellStyle name="Followed Hyperlink" xfId="6819" hidden="1" builtinId="9"/>
    <cellStyle name="Followed Hyperlink" xfId="6820" hidden="1" builtinId="9"/>
    <cellStyle name="Followed Hyperlink" xfId="6821" hidden="1" builtinId="9"/>
    <cellStyle name="Followed Hyperlink" xfId="6822" hidden="1" builtinId="9"/>
    <cellStyle name="Followed Hyperlink" xfId="6823" hidden="1" builtinId="9"/>
    <cellStyle name="Followed Hyperlink" xfId="6824" hidden="1" builtinId="9"/>
    <cellStyle name="Followed Hyperlink" xfId="6825" hidden="1" builtinId="9"/>
    <cellStyle name="Followed Hyperlink" xfId="6826" hidden="1" builtinId="9"/>
    <cellStyle name="Followed Hyperlink" xfId="6827" hidden="1" builtinId="9"/>
    <cellStyle name="Followed Hyperlink" xfId="6828" hidden="1" builtinId="9"/>
    <cellStyle name="Followed Hyperlink" xfId="6829" hidden="1" builtinId="9"/>
    <cellStyle name="Followed Hyperlink" xfId="6830" hidden="1" builtinId="9"/>
    <cellStyle name="Followed Hyperlink" xfId="6831" hidden="1" builtinId="9"/>
    <cellStyle name="Followed Hyperlink" xfId="6832" hidden="1" builtinId="9"/>
    <cellStyle name="Followed Hyperlink" xfId="6833" hidden="1" builtinId="9"/>
    <cellStyle name="Followed Hyperlink" xfId="6834" hidden="1" builtinId="9"/>
    <cellStyle name="Followed Hyperlink" xfId="6835" hidden="1" builtinId="9"/>
    <cellStyle name="Followed Hyperlink" xfId="6836" hidden="1" builtinId="9"/>
    <cellStyle name="Followed Hyperlink" xfId="6837" hidden="1" builtinId="9"/>
    <cellStyle name="Followed Hyperlink" xfId="6838" hidden="1" builtinId="9"/>
    <cellStyle name="Followed Hyperlink" xfId="6839" hidden="1" builtinId="9"/>
    <cellStyle name="Followed Hyperlink" xfId="6840" hidden="1" builtinId="9"/>
    <cellStyle name="Followed Hyperlink" xfId="6841" hidden="1" builtinId="9"/>
    <cellStyle name="Followed Hyperlink" xfId="6842" hidden="1" builtinId="9"/>
    <cellStyle name="Followed Hyperlink" xfId="6843" hidden="1" builtinId="9"/>
    <cellStyle name="Followed Hyperlink" xfId="6844" hidden="1" builtinId="9"/>
    <cellStyle name="Followed Hyperlink" xfId="6845" hidden="1" builtinId="9"/>
    <cellStyle name="Followed Hyperlink" xfId="6846" hidden="1" builtinId="9"/>
    <cellStyle name="Followed Hyperlink" xfId="6847" hidden="1" builtinId="9"/>
    <cellStyle name="Followed Hyperlink" xfId="6848" hidden="1" builtinId="9"/>
    <cellStyle name="Followed Hyperlink" xfId="6849" hidden="1" builtinId="9"/>
    <cellStyle name="Followed Hyperlink" xfId="6850" hidden="1" builtinId="9"/>
    <cellStyle name="Followed Hyperlink" xfId="6851" hidden="1" builtinId="9"/>
    <cellStyle name="Followed Hyperlink" xfId="6852" hidden="1" builtinId="9"/>
    <cellStyle name="Followed Hyperlink" xfId="6853" hidden="1" builtinId="9"/>
    <cellStyle name="Followed Hyperlink" xfId="6854" hidden="1" builtinId="9"/>
    <cellStyle name="Followed Hyperlink" xfId="6855" hidden="1" builtinId="9"/>
    <cellStyle name="Followed Hyperlink" xfId="6856" hidden="1" builtinId="9"/>
    <cellStyle name="Followed Hyperlink" xfId="6857" hidden="1" builtinId="9"/>
    <cellStyle name="Followed Hyperlink" xfId="6858" hidden="1" builtinId="9"/>
    <cellStyle name="Followed Hyperlink" xfId="6859" hidden="1" builtinId="9"/>
    <cellStyle name="Followed Hyperlink" xfId="6860" hidden="1" builtinId="9"/>
    <cellStyle name="Followed Hyperlink" xfId="6861" hidden="1" builtinId="9"/>
    <cellStyle name="Followed Hyperlink" xfId="6862" hidden="1" builtinId="9"/>
    <cellStyle name="Followed Hyperlink" xfId="6863" hidden="1" builtinId="9"/>
    <cellStyle name="Followed Hyperlink" xfId="6864" hidden="1" builtinId="9"/>
    <cellStyle name="Followed Hyperlink" xfId="6865" hidden="1" builtinId="9"/>
    <cellStyle name="Followed Hyperlink" xfId="6866" hidden="1" builtinId="9"/>
    <cellStyle name="Followed Hyperlink" xfId="6867" hidden="1" builtinId="9"/>
    <cellStyle name="Followed Hyperlink" xfId="6868" hidden="1" builtinId="9"/>
    <cellStyle name="Followed Hyperlink" xfId="6869" hidden="1" builtinId="9"/>
    <cellStyle name="Followed Hyperlink" xfId="6870" hidden="1" builtinId="9"/>
    <cellStyle name="Followed Hyperlink" xfId="6871" hidden="1" builtinId="9"/>
    <cellStyle name="Followed Hyperlink" xfId="6872" hidden="1" builtinId="9"/>
    <cellStyle name="Followed Hyperlink" xfId="6873" hidden="1" builtinId="9"/>
    <cellStyle name="Followed Hyperlink" xfId="6874" hidden="1" builtinId="9"/>
    <cellStyle name="Followed Hyperlink" xfId="6875" hidden="1" builtinId="9"/>
    <cellStyle name="Followed Hyperlink" xfId="6876" hidden="1" builtinId="9"/>
    <cellStyle name="ItemTypeClass 2" xfId="6877"/>
    <cellStyle name="Currency [2] 2" xfId="6878"/>
    <cellStyle name="ar 2" xfId="6879"/>
    <cellStyle name="Followed Hyperlink" xfId="6880" hidden="1" builtinId="9"/>
    <cellStyle name="Followed Hyperlink" xfId="6881" hidden="1" builtinId="9"/>
    <cellStyle name="Followed Hyperlink" xfId="6882" hidden="1" builtinId="9"/>
    <cellStyle name="Followed Hyperlink" xfId="6883" hidden="1" builtinId="9"/>
    <cellStyle name="Followed Hyperlink" xfId="6884" hidden="1" builtinId="9"/>
    <cellStyle name="Followed Hyperlink" xfId="6885" hidden="1" builtinId="9"/>
    <cellStyle name="Followed Hyperlink" xfId="6886" hidden="1" builtinId="9"/>
    <cellStyle name="Followed Hyperlink" xfId="6887" hidden="1" builtinId="9"/>
    <cellStyle name="Followed Hyperlink" xfId="6888" hidden="1" builtinId="9"/>
    <cellStyle name="Followed Hyperlink" xfId="6889" hidden="1" builtinId="9"/>
    <cellStyle name="Followed Hyperlink" xfId="6890" hidden="1" builtinId="9"/>
    <cellStyle name="Followed Hyperlink" xfId="6891" hidden="1" builtinId="9"/>
    <cellStyle name="Followed Hyperlink" xfId="6892" hidden="1" builtinId="9"/>
    <cellStyle name="Followed Hyperlink" xfId="6893" hidden="1" builtinId="9"/>
    <cellStyle name="Followed Hyperlink" xfId="6894" hidden="1" builtinId="9"/>
    <cellStyle name="Followed Hyperlink" xfId="6895" hidden="1" builtinId="9"/>
    <cellStyle name="Followed Hyperlink" xfId="6896" hidden="1" builtinId="9"/>
    <cellStyle name="Followed Hyperlink" xfId="6897" hidden="1" builtinId="9"/>
    <cellStyle name="Followed Hyperlink" xfId="6898" hidden="1" builtinId="9"/>
    <cellStyle name="Followed Hyperlink" xfId="6899" hidden="1" builtinId="9"/>
    <cellStyle name="Followed Hyperlink" xfId="6900" hidden="1" builtinId="9"/>
    <cellStyle name="Followed Hyperlink" xfId="6901" hidden="1" builtinId="9"/>
    <cellStyle name="Followed Hyperlink" xfId="6902" hidden="1" builtinId="9"/>
    <cellStyle name="Followed Hyperlink" xfId="6903" hidden="1" builtinId="9"/>
    <cellStyle name="Followed Hyperlink" xfId="6904" hidden="1" builtinId="9"/>
    <cellStyle name="Followed Hyperlink" xfId="6905" hidden="1" builtinId="9"/>
    <cellStyle name="Followed Hyperlink" xfId="6906" hidden="1" builtinId="9"/>
    <cellStyle name="Followed Hyperlink" xfId="6907" hidden="1" builtinId="9"/>
    <cellStyle name="Followed Hyperlink" xfId="6908" hidden="1" builtinId="9"/>
    <cellStyle name="Followed Hyperlink" xfId="6909" hidden="1" builtinId="9"/>
    <cellStyle name="Followed Hyperlink" xfId="6910" hidden="1" builtinId="9"/>
    <cellStyle name="Followed Hyperlink" xfId="6911" hidden="1" builtinId="9"/>
    <cellStyle name="Followed Hyperlink" xfId="6912" hidden="1" builtinId="9"/>
    <cellStyle name="Followed Hyperlink" xfId="6913" hidden="1" builtinId="9"/>
    <cellStyle name="Followed Hyperlink" xfId="6914" hidden="1" builtinId="9"/>
    <cellStyle name="Followed Hyperlink" xfId="6915" hidden="1" builtinId="9"/>
    <cellStyle name="Followed Hyperlink" xfId="6916" hidden="1" builtinId="9"/>
    <cellStyle name="Followed Hyperlink" xfId="6917" hidden="1" builtinId="9"/>
    <cellStyle name="Followed Hyperlink" xfId="6918" hidden="1" builtinId="9"/>
    <cellStyle name="Followed Hyperlink" xfId="6919" hidden="1" builtinId="9"/>
    <cellStyle name="Followed Hyperlink" xfId="6920" hidden="1" builtinId="9"/>
    <cellStyle name="Followed Hyperlink" xfId="6921" hidden="1" builtinId="9"/>
    <cellStyle name="Followed Hyperlink" xfId="6922" hidden="1" builtinId="9"/>
    <cellStyle name="Followed Hyperlink" xfId="6923" hidden="1" builtinId="9"/>
    <cellStyle name="Followed Hyperlink" xfId="6924" hidden="1" builtinId="9"/>
    <cellStyle name="Followed Hyperlink" xfId="6925" hidden="1" builtinId="9"/>
    <cellStyle name="Followed Hyperlink" xfId="6926" hidden="1" builtinId="9"/>
    <cellStyle name="Followed Hyperlink" xfId="6927" hidden="1" builtinId="9"/>
    <cellStyle name="Followed Hyperlink" xfId="6928" hidden="1" builtinId="9"/>
    <cellStyle name="Followed Hyperlink" xfId="6929" hidden="1" builtinId="9"/>
    <cellStyle name="Followed Hyperlink" xfId="6930" hidden="1" builtinId="9"/>
    <cellStyle name="Followed Hyperlink" xfId="6931" hidden="1" builtinId="9"/>
    <cellStyle name="Followed Hyperlink" xfId="6932" hidden="1" builtinId="9"/>
    <cellStyle name="Followed Hyperlink" xfId="6933" hidden="1" builtinId="9"/>
    <cellStyle name="Followed Hyperlink" xfId="6934" hidden="1" builtinId="9"/>
    <cellStyle name="Followed Hyperlink" xfId="6935" hidden="1" builtinId="9"/>
    <cellStyle name="Followed Hyperlink" xfId="6936" hidden="1" builtinId="9"/>
    <cellStyle name="Followed Hyperlink" xfId="6937" hidden="1" builtinId="9"/>
    <cellStyle name="Followed Hyperlink" xfId="6938" hidden="1" builtinId="9"/>
    <cellStyle name="Followed Hyperlink" xfId="6939" hidden="1" builtinId="9"/>
    <cellStyle name="Followed Hyperlink" xfId="6940" hidden="1" builtinId="9"/>
    <cellStyle name="Followed Hyperlink" xfId="6941" hidden="1" builtinId="9"/>
    <cellStyle name="Followed Hyperlink" xfId="6942" hidden="1" builtinId="9"/>
    <cellStyle name="Followed Hyperlink" xfId="6943" hidden="1" builtinId="9"/>
    <cellStyle name="Followed Hyperlink" xfId="6944" hidden="1" builtinId="9"/>
    <cellStyle name="Followed Hyperlink" xfId="6945" hidden="1" builtinId="9"/>
    <cellStyle name="Followed Hyperlink" xfId="6946" hidden="1" builtinId="9"/>
    <cellStyle name="Followed Hyperlink" xfId="6947" hidden="1" builtinId="9"/>
    <cellStyle name="Followed Hyperlink" xfId="6948" hidden="1" builtinId="9"/>
    <cellStyle name="Followed Hyperlink" xfId="6949" hidden="1" builtinId="9"/>
    <cellStyle name="Followed Hyperlink" xfId="6950" hidden="1" builtinId="9"/>
    <cellStyle name="Followed Hyperlink" xfId="6951" hidden="1" builtinId="9"/>
    <cellStyle name="Followed Hyperlink" xfId="6952" hidden="1" builtinId="9"/>
    <cellStyle name="Followed Hyperlink" xfId="6953" hidden="1" builtinId="9"/>
    <cellStyle name="Followed Hyperlink" xfId="6954" hidden="1" builtinId="9"/>
    <cellStyle name="Followed Hyperlink" xfId="6955" hidden="1" builtinId="9"/>
    <cellStyle name="Followed Hyperlink" xfId="6956" hidden="1" builtinId="9"/>
    <cellStyle name="Followed Hyperlink" xfId="6957" hidden="1" builtinId="9"/>
    <cellStyle name="Followed Hyperlink" xfId="6958" hidden="1" builtinId="9"/>
    <cellStyle name="Followed Hyperlink" xfId="6959" hidden="1" builtinId="9"/>
    <cellStyle name="Followed Hyperlink" xfId="6960" hidden="1" builtinId="9"/>
    <cellStyle name="Followed Hyperlink" xfId="6961" hidden="1" builtinId="9"/>
    <cellStyle name="Followed Hyperlink" xfId="6962" hidden="1" builtinId="9"/>
    <cellStyle name="Followed Hyperlink" xfId="6963" hidden="1" builtinId="9"/>
    <cellStyle name="Followed Hyperlink" xfId="6964" hidden="1" builtinId="9"/>
    <cellStyle name="Followed Hyperlink" xfId="6965" hidden="1" builtinId="9"/>
    <cellStyle name="Followed Hyperlink" xfId="6966" hidden="1" builtinId="9"/>
    <cellStyle name="Followed Hyperlink" xfId="6967" hidden="1" builtinId="9"/>
    <cellStyle name="Followed Hyperlink" xfId="6968" hidden="1" builtinId="9"/>
    <cellStyle name="Followed Hyperlink" xfId="6969" hidden="1" builtinId="9"/>
    <cellStyle name="Followed Hyperlink" xfId="6970" hidden="1" builtinId="9"/>
    <cellStyle name="Followed Hyperlink" xfId="6971" hidden="1" builtinId="9"/>
    <cellStyle name="Followed Hyperlink" xfId="6972" hidden="1" builtinId="9"/>
    <cellStyle name="Followed Hyperlink" xfId="6973" hidden="1" builtinId="9"/>
    <cellStyle name="Followed Hyperlink" xfId="6974" hidden="1" builtinId="9"/>
    <cellStyle name="Followed Hyperlink" xfId="6975" hidden="1" builtinId="9"/>
    <cellStyle name="Followed Hyperlink" xfId="6976" hidden="1" builtinId="9"/>
    <cellStyle name="Followed Hyperlink" xfId="6977" hidden="1" builtinId="9"/>
    <cellStyle name="Followed Hyperlink" xfId="6978" hidden="1" builtinId="9"/>
    <cellStyle name="Followed Hyperlink" xfId="6979" hidden="1" builtinId="9"/>
    <cellStyle name="Followed Hyperlink" xfId="6980" hidden="1" builtinId="9"/>
    <cellStyle name="Followed Hyperlink" xfId="6981" hidden="1" builtinId="9"/>
    <cellStyle name="Followed Hyperlink" xfId="6982" hidden="1" builtinId="9"/>
    <cellStyle name="Followed Hyperlink" xfId="6983" hidden="1" builtinId="9"/>
    <cellStyle name="Followed Hyperlink" xfId="6984" hidden="1" builtinId="9"/>
    <cellStyle name="Followed Hyperlink" xfId="6985" hidden="1" builtinId="9"/>
    <cellStyle name="Followed Hyperlink" xfId="6986" hidden="1" builtinId="9"/>
    <cellStyle name="Followed Hyperlink" xfId="6987" hidden="1" builtinId="9"/>
    <cellStyle name="Followed Hyperlink" xfId="6988" hidden="1" builtinId="9"/>
    <cellStyle name="Followed Hyperlink" xfId="6989" hidden="1" builtinId="9"/>
    <cellStyle name="Followed Hyperlink" xfId="6990" hidden="1" builtinId="9"/>
    <cellStyle name="Followed Hyperlink" xfId="6991" hidden="1" builtinId="9"/>
    <cellStyle name="Followed Hyperlink" xfId="6992" hidden="1" builtinId="9"/>
    <cellStyle name="Followed Hyperlink" xfId="6993" hidden="1" builtinId="9"/>
    <cellStyle name="Followed Hyperlink" xfId="6994" hidden="1" builtinId="9"/>
    <cellStyle name="Followed Hyperlink" xfId="6995" hidden="1" builtinId="9"/>
    <cellStyle name="Followed Hyperlink" xfId="6996" hidden="1" builtinId="9"/>
    <cellStyle name="Followed Hyperlink" xfId="6997" hidden="1" builtinId="9"/>
    <cellStyle name="Followed Hyperlink" xfId="6998" hidden="1" builtinId="9"/>
    <cellStyle name="Followed Hyperlink" xfId="6999" hidden="1" builtinId="9"/>
    <cellStyle name="Followed Hyperlink" xfId="7000" hidden="1" builtinId="9"/>
    <cellStyle name="Followed Hyperlink" xfId="7001" hidden="1" builtinId="9"/>
    <cellStyle name="Followed Hyperlink" xfId="7002" hidden="1" builtinId="9"/>
    <cellStyle name="Followed Hyperlink" xfId="7003" hidden="1" builtinId="9"/>
    <cellStyle name="Followed Hyperlink" xfId="7004" hidden="1" builtinId="9"/>
    <cellStyle name="Followed Hyperlink" xfId="7005" hidden="1" builtinId="9"/>
    <cellStyle name="Followed Hyperlink" xfId="7006" hidden="1" builtinId="9"/>
    <cellStyle name="Followed Hyperlink" xfId="7007" hidden="1" builtinId="9"/>
    <cellStyle name="Followed Hyperlink" xfId="7008" hidden="1" builtinId="9"/>
    <cellStyle name="Followed Hyperlink" xfId="7009" hidden="1" builtinId="9"/>
    <cellStyle name="Followed Hyperlink" xfId="7010" hidden="1" builtinId="9"/>
    <cellStyle name="Followed Hyperlink" xfId="7011" hidden="1" builtinId="9"/>
    <cellStyle name="Followed Hyperlink" xfId="7012" hidden="1" builtinId="9"/>
    <cellStyle name="Followed Hyperlink" xfId="7013" hidden="1" builtinId="9"/>
    <cellStyle name="Followed Hyperlink" xfId="7014" hidden="1" builtinId="9"/>
    <cellStyle name="Followed Hyperlink" xfId="7015" hidden="1" builtinId="9"/>
    <cellStyle name="Followed Hyperlink" xfId="7016" hidden="1" builtinId="9"/>
    <cellStyle name="Followed Hyperlink" xfId="7017" hidden="1" builtinId="9"/>
    <cellStyle name="Followed Hyperlink" xfId="7018" hidden="1" builtinId="9"/>
    <cellStyle name="Followed Hyperlink" xfId="7019" hidden="1" builtinId="9"/>
    <cellStyle name="Followed Hyperlink" xfId="7020" hidden="1" builtinId="9"/>
    <cellStyle name="Followed Hyperlink" xfId="7021" hidden="1" builtinId="9"/>
    <cellStyle name="Followed Hyperlink" xfId="7022" hidden="1" builtinId="9"/>
    <cellStyle name="Followed Hyperlink" xfId="7023" hidden="1" builtinId="9"/>
    <cellStyle name="Followed Hyperlink" xfId="7024" hidden="1" builtinId="9"/>
    <cellStyle name="Followed Hyperlink" xfId="7025" hidden="1" builtinId="9"/>
    <cellStyle name="Followed Hyperlink" xfId="7026" hidden="1" builtinId="9"/>
    <cellStyle name="Followed Hyperlink" xfId="7027" hidden="1" builtinId="9"/>
    <cellStyle name="Followed Hyperlink" xfId="7028" hidden="1" builtinId="9"/>
    <cellStyle name="Followed Hyperlink" xfId="7029" hidden="1" builtinId="9"/>
    <cellStyle name="Followed Hyperlink" xfId="7030" hidden="1" builtinId="9"/>
    <cellStyle name="Followed Hyperlink" xfId="7031" hidden="1" builtinId="9"/>
    <cellStyle name="Followed Hyperlink" xfId="7032" hidden="1" builtinId="9"/>
    <cellStyle name="Followed Hyperlink" xfId="7033" hidden="1" builtinId="9"/>
    <cellStyle name="Followed Hyperlink" xfId="7034" hidden="1" builtinId="9"/>
    <cellStyle name="Followed Hyperlink" xfId="7035" hidden="1" builtinId="9"/>
    <cellStyle name="Followed Hyperlink" xfId="7036" hidden="1" builtinId="9"/>
    <cellStyle name="Followed Hyperlink" xfId="7037" hidden="1" builtinId="9"/>
    <cellStyle name="Followed Hyperlink" xfId="7038" hidden="1" builtinId="9"/>
    <cellStyle name="Followed Hyperlink" xfId="7039" hidden="1" builtinId="9"/>
    <cellStyle name="Followed Hyperlink" xfId="7040" hidden="1" builtinId="9"/>
    <cellStyle name="Followed Hyperlink" xfId="7041" hidden="1" builtinId="9"/>
    <cellStyle name="Followed Hyperlink" xfId="7042" hidden="1" builtinId="9"/>
    <cellStyle name="Followed Hyperlink" xfId="7043" hidden="1" builtinId="9"/>
    <cellStyle name="Followed Hyperlink" xfId="7044" hidden="1" builtinId="9"/>
    <cellStyle name="Followed Hyperlink" xfId="7045" hidden="1" builtinId="9"/>
    <cellStyle name="Followed Hyperlink" xfId="7046" hidden="1" builtinId="9"/>
    <cellStyle name="Followed Hyperlink" xfId="7047" hidden="1" builtinId="9"/>
    <cellStyle name="Followed Hyperlink" xfId="7048" hidden="1" builtinId="9"/>
    <cellStyle name="Followed Hyperlink" xfId="7049" hidden="1" builtinId="9"/>
    <cellStyle name="Followed Hyperlink" xfId="7050" hidden="1" builtinId="9"/>
    <cellStyle name="Followed Hyperlink" xfId="7051" hidden="1" builtinId="9"/>
    <cellStyle name="Followed Hyperlink" xfId="7052" hidden="1" builtinId="9"/>
    <cellStyle name="Followed Hyperlink" xfId="7053" hidden="1" builtinId="9"/>
    <cellStyle name="Followed Hyperlink" xfId="7054" hidden="1" builtinId="9"/>
    <cellStyle name="Followed Hyperlink" xfId="7055" hidden="1" builtinId="9"/>
    <cellStyle name="Followed Hyperlink" xfId="7056" hidden="1" builtinId="9"/>
    <cellStyle name="Followed Hyperlink" xfId="7057" hidden="1" builtinId="9"/>
    <cellStyle name="Followed Hyperlink" xfId="7058" hidden="1" builtinId="9"/>
    <cellStyle name="Followed Hyperlink" xfId="7059" hidden="1" builtinId="9"/>
    <cellStyle name="Followed Hyperlink" xfId="7060" hidden="1" builtinId="9"/>
    <cellStyle name="Followed Hyperlink" xfId="7061" hidden="1" builtinId="9"/>
    <cellStyle name="Followed Hyperlink" xfId="7062" hidden="1" builtinId="9"/>
    <cellStyle name="Followed Hyperlink" xfId="7063" hidden="1" builtinId="9"/>
    <cellStyle name="Followed Hyperlink" xfId="7064" hidden="1" builtinId="9"/>
    <cellStyle name="Followed Hyperlink" xfId="7065" hidden="1" builtinId="9"/>
    <cellStyle name="Followed Hyperlink" xfId="7066" hidden="1" builtinId="9"/>
    <cellStyle name="Followed Hyperlink" xfId="7067" hidden="1" builtinId="9"/>
    <cellStyle name="Followed Hyperlink" xfId="7068" hidden="1" builtinId="9"/>
    <cellStyle name="Followed Hyperlink" xfId="7069" hidden="1" builtinId="9"/>
    <cellStyle name="Followed Hyperlink" xfId="7070" hidden="1" builtinId="9"/>
    <cellStyle name="Followed Hyperlink" xfId="7071" hidden="1" builtinId="9"/>
    <cellStyle name="Followed Hyperlink" xfId="7072" hidden="1" builtinId="9"/>
    <cellStyle name="Followed Hyperlink" xfId="7073" hidden="1" builtinId="9"/>
    <cellStyle name="Followed Hyperlink" xfId="7074" hidden="1" builtinId="9"/>
    <cellStyle name="Followed Hyperlink" xfId="7075" hidden="1" builtinId="9"/>
    <cellStyle name="Followed Hyperlink" xfId="7076" hidden="1" builtinId="9"/>
    <cellStyle name="Followed Hyperlink" xfId="7077" hidden="1" builtinId="9"/>
    <cellStyle name="Followed Hyperlink" xfId="7078" hidden="1" builtinId="9"/>
    <cellStyle name="Followed Hyperlink" xfId="7079" hidden="1" builtinId="9"/>
    <cellStyle name="Followed Hyperlink" xfId="7080" hidden="1" builtinId="9"/>
    <cellStyle name="Followed Hyperlink" xfId="7081" hidden="1" builtinId="9"/>
    <cellStyle name="Followed Hyperlink" xfId="7082" hidden="1" builtinId="9"/>
    <cellStyle name="Followed Hyperlink" xfId="7083" hidden="1" builtinId="9"/>
    <cellStyle name="Followed Hyperlink" xfId="7084" hidden="1" builtinId="9"/>
    <cellStyle name="Followed Hyperlink" xfId="7085" hidden="1" builtinId="9"/>
    <cellStyle name="Followed Hyperlink" xfId="7086" hidden="1" builtinId="9"/>
    <cellStyle name="Followed Hyperlink" xfId="7087" hidden="1" builtinId="9"/>
    <cellStyle name="Followed Hyperlink" xfId="7088" hidden="1" builtinId="9"/>
    <cellStyle name="Followed Hyperlink" xfId="7089" hidden="1" builtinId="9"/>
    <cellStyle name="Followed Hyperlink" xfId="7090" hidden="1" builtinId="9"/>
    <cellStyle name="Followed Hyperlink" xfId="7091" hidden="1" builtinId="9"/>
    <cellStyle name="Followed Hyperlink" xfId="7092" hidden="1" builtinId="9"/>
    <cellStyle name="Followed Hyperlink" xfId="7093" hidden="1" builtinId="9"/>
    <cellStyle name="Followed Hyperlink" xfId="7094" hidden="1" builtinId="9"/>
    <cellStyle name="Followed Hyperlink" xfId="7095" hidden="1" builtinId="9"/>
    <cellStyle name="Followed Hyperlink" xfId="7096" hidden="1" builtinId="9"/>
    <cellStyle name="Followed Hyperlink" xfId="7097" hidden="1" builtinId="9"/>
    <cellStyle name="Followed Hyperlink" xfId="7098" hidden="1" builtinId="9"/>
    <cellStyle name="Followed Hyperlink" xfId="7099" hidden="1" builtinId="9"/>
    <cellStyle name="Followed Hyperlink" xfId="7100" hidden="1" builtinId="9"/>
    <cellStyle name="Followed Hyperlink" xfId="7101" hidden="1" builtinId="9"/>
    <cellStyle name="Followed Hyperlink" xfId="7102" hidden="1" builtinId="9"/>
    <cellStyle name="Followed Hyperlink" xfId="7103" hidden="1" builtinId="9"/>
    <cellStyle name="Followed Hyperlink" xfId="7104" hidden="1" builtinId="9"/>
    <cellStyle name="Followed Hyperlink" xfId="7105" hidden="1" builtinId="9"/>
    <cellStyle name="Followed Hyperlink" xfId="7106" hidden="1" builtinId="9"/>
    <cellStyle name="Followed Hyperlink" xfId="7107" hidden="1" builtinId="9"/>
    <cellStyle name="Followed Hyperlink" xfId="7108" hidden="1" builtinId="9"/>
    <cellStyle name="Followed Hyperlink" xfId="7109" hidden="1" builtinId="9"/>
    <cellStyle name="Followed Hyperlink" xfId="7110" hidden="1" builtinId="9"/>
    <cellStyle name="Followed Hyperlink" xfId="7111" hidden="1" builtinId="9"/>
    <cellStyle name="Followed Hyperlink" xfId="7112" hidden="1" builtinId="9"/>
    <cellStyle name="Followed Hyperlink" xfId="7113" hidden="1" builtinId="9"/>
    <cellStyle name="Followed Hyperlink" xfId="7114" hidden="1" builtinId="9"/>
    <cellStyle name="Followed Hyperlink" xfId="7115" hidden="1" builtinId="9"/>
    <cellStyle name="Followed Hyperlink" xfId="7116" hidden="1" builtinId="9"/>
    <cellStyle name="Followed Hyperlink" xfId="7117" hidden="1" builtinId="9"/>
    <cellStyle name="Followed Hyperlink" xfId="7118" hidden="1" builtinId="9"/>
    <cellStyle name="Followed Hyperlink" xfId="7119" hidden="1" builtinId="9"/>
    <cellStyle name="Followed Hyperlink" xfId="7120" hidden="1" builtinId="9"/>
    <cellStyle name="Followed Hyperlink" xfId="7121" hidden="1" builtinId="9"/>
    <cellStyle name="Followed Hyperlink" xfId="7122" hidden="1" builtinId="9"/>
    <cellStyle name="Followed Hyperlink" xfId="7123" hidden="1" builtinId="9"/>
    <cellStyle name="Followed Hyperlink" xfId="7124" hidden="1" builtinId="9"/>
    <cellStyle name="Followed Hyperlink" xfId="7125" hidden="1" builtinId="9"/>
    <cellStyle name="Followed Hyperlink" xfId="7126" hidden="1" builtinId="9"/>
    <cellStyle name="Followed Hyperlink" xfId="7127" hidden="1" builtinId="9"/>
    <cellStyle name="Followed Hyperlink" xfId="7128" hidden="1" builtinId="9"/>
    <cellStyle name="Followed Hyperlink" xfId="7129" hidden="1" builtinId="9"/>
    <cellStyle name="Followed Hyperlink" xfId="7130" hidden="1" builtinId="9"/>
    <cellStyle name="Followed Hyperlink" xfId="7131" hidden="1" builtinId="9"/>
    <cellStyle name="Followed Hyperlink" xfId="7132" hidden="1" builtinId="9"/>
    <cellStyle name="Followed Hyperlink" xfId="7133" hidden="1" builtinId="9"/>
    <cellStyle name="Followed Hyperlink" xfId="7134" hidden="1" builtinId="9"/>
    <cellStyle name="Followed Hyperlink" xfId="7135" hidden="1" builtinId="9"/>
    <cellStyle name="Followed Hyperlink" xfId="7136" hidden="1" builtinId="9"/>
    <cellStyle name="Followed Hyperlink" xfId="7137" hidden="1" builtinId="9"/>
    <cellStyle name="Followed Hyperlink" xfId="7138" hidden="1" builtinId="9"/>
    <cellStyle name="Followed Hyperlink" xfId="7139" hidden="1" builtinId="9"/>
    <cellStyle name="Followed Hyperlink" xfId="7140" hidden="1" builtinId="9"/>
    <cellStyle name="Followed Hyperlink" xfId="7141" hidden="1" builtinId="9"/>
    <cellStyle name="Followed Hyperlink" xfId="7142" hidden="1" builtinId="9"/>
    <cellStyle name="Followed Hyperlink" xfId="7143" hidden="1" builtinId="9"/>
    <cellStyle name="Followed Hyperlink" xfId="7144" hidden="1" builtinId="9"/>
    <cellStyle name="Followed Hyperlink" xfId="7145" hidden="1" builtinId="9"/>
    <cellStyle name="Followed Hyperlink" xfId="7146" hidden="1" builtinId="9"/>
    <cellStyle name="Followed Hyperlink" xfId="7147" hidden="1" builtinId="9"/>
    <cellStyle name="Followed Hyperlink" xfId="7148" hidden="1" builtinId="9"/>
    <cellStyle name="Followed Hyperlink" xfId="7149" hidden="1" builtinId="9"/>
    <cellStyle name="Followed Hyperlink" xfId="7150" hidden="1" builtinId="9"/>
    <cellStyle name="Followed Hyperlink" xfId="7151" hidden="1" builtinId="9"/>
    <cellStyle name="Followed Hyperlink" xfId="7152" hidden="1" builtinId="9"/>
    <cellStyle name="Followed Hyperlink" xfId="7153" hidden="1" builtinId="9"/>
    <cellStyle name="Followed Hyperlink" xfId="7154" hidden="1" builtinId="9"/>
    <cellStyle name="Followed Hyperlink" xfId="7155" hidden="1" builtinId="9"/>
    <cellStyle name="Followed Hyperlink" xfId="7156" hidden="1" builtinId="9"/>
    <cellStyle name="Followed Hyperlink" xfId="7157" hidden="1" builtinId="9"/>
    <cellStyle name="Followed Hyperlink" xfId="7158" hidden="1" builtinId="9"/>
    <cellStyle name="Followed Hyperlink" xfId="7159" hidden="1" builtinId="9"/>
    <cellStyle name="Followed Hyperlink" xfId="7160" hidden="1" builtinId="9"/>
    <cellStyle name="Followed Hyperlink" xfId="7161" hidden="1" builtinId="9"/>
    <cellStyle name="Followed Hyperlink" xfId="7162" hidden="1" builtinId="9"/>
    <cellStyle name="Followed Hyperlink" xfId="7163" hidden="1" builtinId="9"/>
    <cellStyle name="Followed Hyperlink" xfId="7164" hidden="1" builtinId="9"/>
    <cellStyle name="Followed Hyperlink" xfId="7165" hidden="1" builtinId="9"/>
    <cellStyle name="Followed Hyperlink" xfId="7166" hidden="1" builtinId="9"/>
    <cellStyle name="Followed Hyperlink" xfId="7167" hidden="1" builtinId="9"/>
    <cellStyle name="Followed Hyperlink" xfId="7168" hidden="1" builtinId="9"/>
    <cellStyle name="Followed Hyperlink" xfId="7169" hidden="1" builtinId="9"/>
    <cellStyle name="Followed Hyperlink" xfId="7170" hidden="1" builtinId="9"/>
    <cellStyle name="Followed Hyperlink" xfId="7171" hidden="1" builtinId="9"/>
    <cellStyle name="Followed Hyperlink" xfId="7172" hidden="1" builtinId="9"/>
    <cellStyle name="Followed Hyperlink" xfId="7173" hidden="1" builtinId="9"/>
    <cellStyle name="Followed Hyperlink" xfId="7174" hidden="1" builtinId="9"/>
    <cellStyle name="Followed Hyperlink" xfId="7175" hidden="1" builtinId="9"/>
    <cellStyle name="Followed Hyperlink" xfId="7176" hidden="1" builtinId="9"/>
    <cellStyle name="Followed Hyperlink" xfId="7177" hidden="1" builtinId="9"/>
    <cellStyle name="Followed Hyperlink" xfId="7178" hidden="1" builtinId="9"/>
    <cellStyle name="Followed Hyperlink" xfId="7179" hidden="1" builtinId="9"/>
    <cellStyle name="Followed Hyperlink" xfId="7180" hidden="1" builtinId="9"/>
    <cellStyle name="Followed Hyperlink" xfId="7181" hidden="1" builtinId="9"/>
    <cellStyle name="Followed Hyperlink" xfId="7182" hidden="1" builtinId="9"/>
    <cellStyle name="Followed Hyperlink" xfId="7183" hidden="1" builtinId="9"/>
    <cellStyle name="Followed Hyperlink" xfId="7184" hidden="1" builtinId="9"/>
    <cellStyle name="Followed Hyperlink" xfId="7185" hidden="1" builtinId="9"/>
    <cellStyle name="Followed Hyperlink" xfId="7186" hidden="1" builtinId="9"/>
    <cellStyle name="Followed Hyperlink" xfId="7187" hidden="1" builtinId="9"/>
    <cellStyle name="Followed Hyperlink" xfId="7188" hidden="1" builtinId="9"/>
    <cellStyle name="Followed Hyperlink" xfId="7189" hidden="1" builtinId="9"/>
    <cellStyle name="Followed Hyperlink" xfId="7190" hidden="1" builtinId="9"/>
    <cellStyle name="Followed Hyperlink" xfId="7191" hidden="1" builtinId="9"/>
    <cellStyle name="Followed Hyperlink" xfId="7192" hidden="1" builtinId="9"/>
    <cellStyle name="Followed Hyperlink" xfId="7193" hidden="1" builtinId="9"/>
    <cellStyle name="Followed Hyperlink" xfId="7194" hidden="1" builtinId="9"/>
    <cellStyle name="Followed Hyperlink" xfId="7195" hidden="1" builtinId="9"/>
    <cellStyle name="Followed Hyperlink" xfId="7196" hidden="1" builtinId="9"/>
    <cellStyle name="Followed Hyperlink" xfId="7197" hidden="1" builtinId="9"/>
    <cellStyle name="Followed Hyperlink" xfId="7198" hidden="1" builtinId="9"/>
    <cellStyle name="Followed Hyperlink" xfId="7199" hidden="1" builtinId="9"/>
    <cellStyle name="Followed Hyperlink" xfId="7200" hidden="1" builtinId="9"/>
    <cellStyle name="Followed Hyperlink" xfId="7201" hidden="1" builtinId="9"/>
    <cellStyle name="Followed Hyperlink" xfId="7202" hidden="1" builtinId="9"/>
    <cellStyle name="Followed Hyperlink" xfId="7203" hidden="1" builtinId="9"/>
    <cellStyle name="Followed Hyperlink" xfId="7204" hidden="1" builtinId="9"/>
    <cellStyle name="Followed Hyperlink" xfId="7205" hidden="1" builtinId="9"/>
    <cellStyle name="Followed Hyperlink" xfId="7206" hidden="1" builtinId="9"/>
    <cellStyle name="Followed Hyperlink" xfId="7207" hidden="1" builtinId="9"/>
    <cellStyle name="Followed Hyperlink" xfId="7208" hidden="1" builtinId="9"/>
    <cellStyle name="Followed Hyperlink" xfId="7209" hidden="1" builtinId="9"/>
    <cellStyle name="Followed Hyperlink" xfId="7210" hidden="1" builtinId="9"/>
    <cellStyle name="Followed Hyperlink" xfId="7211" hidden="1" builtinId="9"/>
    <cellStyle name="Followed Hyperlink" xfId="7212" hidden="1" builtinId="9"/>
    <cellStyle name="Followed Hyperlink" xfId="7213" hidden="1" builtinId="9"/>
    <cellStyle name="Followed Hyperlink" xfId="7214" hidden="1" builtinId="9"/>
    <cellStyle name="Followed Hyperlink" xfId="7215" hidden="1" builtinId="9"/>
    <cellStyle name="Followed Hyperlink" xfId="7216" hidden="1" builtinId="9"/>
    <cellStyle name="Followed Hyperlink" xfId="7217" hidden="1" builtinId="9"/>
    <cellStyle name="Followed Hyperlink" xfId="7218" hidden="1" builtinId="9"/>
    <cellStyle name="Followed Hyperlink" xfId="7219" hidden="1" builtinId="9"/>
    <cellStyle name="Followed Hyperlink" xfId="7220" hidden="1" builtinId="9"/>
    <cellStyle name="Followed Hyperlink" xfId="7221" hidden="1" builtinId="9"/>
    <cellStyle name="Followed Hyperlink" xfId="7222" hidden="1" builtinId="9"/>
    <cellStyle name="Followed Hyperlink" xfId="7223" hidden="1" builtinId="9"/>
    <cellStyle name="Followed Hyperlink" xfId="7224" hidden="1" builtinId="9"/>
    <cellStyle name="Followed Hyperlink" xfId="7225" hidden="1" builtinId="9"/>
    <cellStyle name="Followed Hyperlink" xfId="7226" hidden="1" builtinId="9"/>
    <cellStyle name="Followed Hyperlink" xfId="7227" hidden="1" builtinId="9"/>
    <cellStyle name="Followed Hyperlink" xfId="7228" hidden="1" builtinId="9"/>
    <cellStyle name="Followed Hyperlink" xfId="7229" hidden="1" builtinId="9"/>
    <cellStyle name="Followed Hyperlink" xfId="7230" hidden="1" builtinId="9"/>
    <cellStyle name="Followed Hyperlink" xfId="7231" hidden="1" builtinId="9"/>
    <cellStyle name="Followed Hyperlink" xfId="7232" hidden="1" builtinId="9"/>
    <cellStyle name="Followed Hyperlink" xfId="7233" hidden="1" builtinId="9"/>
    <cellStyle name="Followed Hyperlink" xfId="7234" hidden="1" builtinId="9"/>
    <cellStyle name="Followed Hyperlink" xfId="7235" hidden="1" builtinId="9"/>
    <cellStyle name="Followed Hyperlink" xfId="7236" hidden="1" builtinId="9"/>
    <cellStyle name="Followed Hyperlink" xfId="7237" hidden="1" builtinId="9"/>
    <cellStyle name="Followed Hyperlink" xfId="7238" hidden="1" builtinId="9"/>
    <cellStyle name="Followed Hyperlink" xfId="7239" hidden="1" builtinId="9"/>
    <cellStyle name="Followed Hyperlink" xfId="7240" hidden="1" builtinId="9"/>
    <cellStyle name="Followed Hyperlink" xfId="7241" hidden="1" builtinId="9"/>
    <cellStyle name="Followed Hyperlink" xfId="7242" hidden="1" builtinId="9"/>
    <cellStyle name="Followed Hyperlink" xfId="7243" hidden="1" builtinId="9"/>
    <cellStyle name="Followed Hyperlink" xfId="7244" hidden="1" builtinId="9"/>
    <cellStyle name="Followed Hyperlink" xfId="7245" hidden="1" builtinId="9"/>
    <cellStyle name="Followed Hyperlink" xfId="7246" hidden="1" builtinId="9"/>
    <cellStyle name="Followed Hyperlink" xfId="7247" hidden="1" builtinId="9"/>
    <cellStyle name="Followed Hyperlink" xfId="7248" hidden="1" builtinId="9"/>
    <cellStyle name="Followed Hyperlink" xfId="7249" hidden="1" builtinId="9"/>
    <cellStyle name="Followed Hyperlink" xfId="7250" hidden="1" builtinId="9"/>
    <cellStyle name="Followed Hyperlink" xfId="7251" hidden="1" builtinId="9"/>
    <cellStyle name="Followed Hyperlink" xfId="7252" hidden="1" builtinId="9"/>
    <cellStyle name="Followed Hyperlink" xfId="7253" hidden="1" builtinId="9"/>
    <cellStyle name="Followed Hyperlink" xfId="7254" hidden="1" builtinId="9"/>
    <cellStyle name="Followed Hyperlink" xfId="7255" hidden="1" builtinId="9"/>
    <cellStyle name="Followed Hyperlink" xfId="7256" hidden="1" builtinId="9"/>
    <cellStyle name="Followed Hyperlink" xfId="7257" hidden="1" builtinId="9"/>
    <cellStyle name="Followed Hyperlink" xfId="7258" hidden="1" builtinId="9"/>
    <cellStyle name="Followed Hyperlink" xfId="7259" hidden="1" builtinId="9"/>
    <cellStyle name="Followed Hyperlink" xfId="7260" hidden="1" builtinId="9"/>
    <cellStyle name="Followed Hyperlink" xfId="7261" hidden="1" builtinId="9"/>
    <cellStyle name="Followed Hyperlink" xfId="7262" hidden="1" builtinId="9"/>
    <cellStyle name="Followed Hyperlink" xfId="7263" hidden="1" builtinId="9"/>
    <cellStyle name="Followed Hyperlink" xfId="7264" hidden="1" builtinId="9"/>
    <cellStyle name="Followed Hyperlink" xfId="7265" hidden="1" builtinId="9"/>
    <cellStyle name="Followed Hyperlink" xfId="7266" hidden="1" builtinId="9"/>
    <cellStyle name="Followed Hyperlink" xfId="7267" hidden="1" builtinId="9"/>
    <cellStyle name="Followed Hyperlink" xfId="7268" hidden="1" builtinId="9"/>
    <cellStyle name="Followed Hyperlink" xfId="7269" hidden="1" builtinId="9"/>
    <cellStyle name="Followed Hyperlink" xfId="7270" hidden="1" builtinId="9"/>
    <cellStyle name="Followed Hyperlink" xfId="7271" hidden="1" builtinId="9"/>
    <cellStyle name="Followed Hyperlink" xfId="7272" hidden="1" builtinId="9"/>
    <cellStyle name="Followed Hyperlink" xfId="7273" hidden="1" builtinId="9"/>
    <cellStyle name="Followed Hyperlink" xfId="7274" hidden="1" builtinId="9"/>
    <cellStyle name="Followed Hyperlink" xfId="7275" hidden="1" builtinId="9"/>
    <cellStyle name="Followed Hyperlink" xfId="7276" hidden="1" builtinId="9"/>
    <cellStyle name="Followed Hyperlink" xfId="7277" hidden="1" builtinId="9"/>
    <cellStyle name="Followed Hyperlink" xfId="7278" hidden="1" builtinId="9"/>
    <cellStyle name="Followed Hyperlink" xfId="7279" hidden="1" builtinId="9"/>
    <cellStyle name="Followed Hyperlink" xfId="7280" hidden="1" builtinId="9"/>
    <cellStyle name="Followed Hyperlink" xfId="7281" hidden="1" builtinId="9"/>
    <cellStyle name="Followed Hyperlink" xfId="7282" hidden="1" builtinId="9"/>
    <cellStyle name="Followed Hyperlink" xfId="7283" hidden="1" builtinId="9"/>
    <cellStyle name="Followed Hyperlink" xfId="7284" hidden="1" builtinId="9"/>
    <cellStyle name="Followed Hyperlink" xfId="7285" hidden="1" builtinId="9"/>
    <cellStyle name="Followed Hyperlink" xfId="7286" hidden="1" builtinId="9"/>
    <cellStyle name="Followed Hyperlink" xfId="7287" hidden="1" builtinId="9"/>
    <cellStyle name="Followed Hyperlink" xfId="7288" hidden="1" builtinId="9"/>
    <cellStyle name="Followed Hyperlink" xfId="7289" hidden="1" builtinId="9"/>
    <cellStyle name="Followed Hyperlink" xfId="7290" hidden="1" builtinId="9"/>
    <cellStyle name="Followed Hyperlink" xfId="7291" hidden="1" builtinId="9"/>
    <cellStyle name="Followed Hyperlink" xfId="7292" hidden="1" builtinId="9"/>
    <cellStyle name="Followed Hyperlink" xfId="7293" hidden="1" builtinId="9"/>
    <cellStyle name="Followed Hyperlink" xfId="7294" hidden="1" builtinId="9"/>
    <cellStyle name="Followed Hyperlink" xfId="7295" hidden="1" builtinId="9"/>
    <cellStyle name="Followed Hyperlink" xfId="7296" hidden="1" builtinId="9"/>
    <cellStyle name="Followed Hyperlink" xfId="7297" hidden="1" builtinId="9"/>
    <cellStyle name="Followed Hyperlink" xfId="7298" hidden="1" builtinId="9"/>
    <cellStyle name="Followed Hyperlink" xfId="7299" hidden="1" builtinId="9"/>
    <cellStyle name="Followed Hyperlink" xfId="7300" hidden="1" builtinId="9"/>
    <cellStyle name="Followed Hyperlink" xfId="7301" hidden="1" builtinId="9"/>
    <cellStyle name="Followed Hyperlink" xfId="7302" hidden="1" builtinId="9"/>
    <cellStyle name="Followed Hyperlink" xfId="7303" hidden="1" builtinId="9"/>
    <cellStyle name="Followed Hyperlink" xfId="7304" hidden="1" builtinId="9"/>
    <cellStyle name="Followed Hyperlink" xfId="7305" hidden="1" builtinId="9"/>
    <cellStyle name="Followed Hyperlink" xfId="7306" hidden="1" builtinId="9"/>
    <cellStyle name="Followed Hyperlink" xfId="7307" hidden="1" builtinId="9"/>
    <cellStyle name="Followed Hyperlink" xfId="7308" hidden="1" builtinId="9"/>
    <cellStyle name="Followed Hyperlink" xfId="7309" hidden="1" builtinId="9"/>
    <cellStyle name="Followed Hyperlink" xfId="7310" hidden="1" builtinId="9"/>
    <cellStyle name="Followed Hyperlink" xfId="7311" hidden="1" builtinId="9"/>
    <cellStyle name="Followed Hyperlink" xfId="7312" hidden="1" builtinId="9"/>
    <cellStyle name="Followed Hyperlink" xfId="7313" hidden="1" builtinId="9"/>
    <cellStyle name="Followed Hyperlink" xfId="7314" hidden="1" builtinId="9"/>
    <cellStyle name="Followed Hyperlink" xfId="7315" hidden="1" builtinId="9"/>
    <cellStyle name="Followed Hyperlink" xfId="7316" hidden="1" builtinId="9"/>
    <cellStyle name="Followed Hyperlink" xfId="7317" hidden="1" builtinId="9"/>
    <cellStyle name="Followed Hyperlink" xfId="7318" hidden="1" builtinId="9"/>
    <cellStyle name="Followed Hyperlink" xfId="7319" hidden="1" builtinId="9"/>
    <cellStyle name="Followed Hyperlink" xfId="7320" hidden="1" builtinId="9"/>
    <cellStyle name="Followed Hyperlink" xfId="7321" hidden="1" builtinId="9"/>
    <cellStyle name="Followed Hyperlink" xfId="7322" hidden="1" builtinId="9"/>
    <cellStyle name="Followed Hyperlink" xfId="7323" hidden="1" builtinId="9"/>
    <cellStyle name="Followed Hyperlink" xfId="7324" hidden="1" builtinId="9"/>
    <cellStyle name="Followed Hyperlink" xfId="7325" hidden="1" builtinId="9"/>
    <cellStyle name="Followed Hyperlink" xfId="7326" hidden="1" builtinId="9"/>
    <cellStyle name="Followed Hyperlink" xfId="7327" hidden="1" builtinId="9"/>
    <cellStyle name="Followed Hyperlink" xfId="7328" hidden="1" builtinId="9"/>
    <cellStyle name="Followed Hyperlink" xfId="7329" hidden="1" builtinId="9"/>
    <cellStyle name="Followed Hyperlink" xfId="7330" hidden="1" builtinId="9"/>
    <cellStyle name="Followed Hyperlink" xfId="7331" hidden="1" builtinId="9"/>
    <cellStyle name="Followed Hyperlink" xfId="7332" hidden="1" builtinId="9"/>
    <cellStyle name="Followed Hyperlink" xfId="7333" hidden="1" builtinId="9"/>
    <cellStyle name="Followed Hyperlink" xfId="7334" hidden="1" builtinId="9"/>
    <cellStyle name="Followed Hyperlink" xfId="7335" hidden="1" builtinId="9"/>
    <cellStyle name="Followed Hyperlink" xfId="7336" hidden="1" builtinId="9"/>
    <cellStyle name="Followed Hyperlink" xfId="7337" hidden="1" builtinId="9"/>
    <cellStyle name="Followed Hyperlink" xfId="7338" hidden="1" builtinId="9"/>
    <cellStyle name="Followed Hyperlink" xfId="7339" hidden="1" builtinId="9"/>
    <cellStyle name="Followed Hyperlink" xfId="7340" hidden="1" builtinId="9"/>
    <cellStyle name="Followed Hyperlink" xfId="7341" hidden="1" builtinId="9"/>
    <cellStyle name="Followed Hyperlink" xfId="7342" hidden="1" builtinId="9"/>
    <cellStyle name="Followed Hyperlink" xfId="7343" hidden="1" builtinId="9"/>
    <cellStyle name="Followed Hyperlink" xfId="7344" hidden="1" builtinId="9"/>
    <cellStyle name="Followed Hyperlink" xfId="7345" hidden="1" builtinId="9"/>
    <cellStyle name="Followed Hyperlink" xfId="7346" hidden="1" builtinId="9"/>
    <cellStyle name="Followed Hyperlink" xfId="7347" hidden="1" builtinId="9"/>
    <cellStyle name="Followed Hyperlink" xfId="7348" hidden="1" builtinId="9"/>
    <cellStyle name="Followed Hyperlink" xfId="7349" hidden="1" builtinId="9"/>
    <cellStyle name="Followed Hyperlink" xfId="7350" hidden="1" builtinId="9"/>
    <cellStyle name="Followed Hyperlink" xfId="7351" hidden="1" builtinId="9"/>
    <cellStyle name="Followed Hyperlink" xfId="7352" hidden="1" builtinId="9"/>
    <cellStyle name="Followed Hyperlink" xfId="7353" hidden="1" builtinId="9"/>
    <cellStyle name="Followed Hyperlink" xfId="7354" hidden="1" builtinId="9"/>
    <cellStyle name="Followed Hyperlink" xfId="7355" hidden="1" builtinId="9"/>
    <cellStyle name="Followed Hyperlink" xfId="7356" hidden="1" builtinId="9"/>
    <cellStyle name="Followed Hyperlink" xfId="7357" hidden="1" builtinId="9"/>
    <cellStyle name="Followed Hyperlink" xfId="7358" hidden="1" builtinId="9"/>
    <cellStyle name="Followed Hyperlink" xfId="7359" hidden="1" builtinId="9"/>
    <cellStyle name="Followed Hyperlink" xfId="7360" hidden="1" builtinId="9"/>
    <cellStyle name="Followed Hyperlink" xfId="7361" hidden="1" builtinId="9"/>
    <cellStyle name="Followed Hyperlink" xfId="7362" hidden="1" builtinId="9"/>
    <cellStyle name="Followed Hyperlink" xfId="7363" hidden="1" builtinId="9"/>
    <cellStyle name="Followed Hyperlink" xfId="7364" hidden="1" builtinId="9"/>
    <cellStyle name="Followed Hyperlink" xfId="7365" hidden="1" builtinId="9"/>
    <cellStyle name="Followed Hyperlink" xfId="7366" hidden="1" builtinId="9"/>
    <cellStyle name="Followed Hyperlink" xfId="7367" hidden="1" builtinId="9"/>
    <cellStyle name="Followed Hyperlink" xfId="7368" hidden="1" builtinId="9"/>
    <cellStyle name="Followed Hyperlink" xfId="7369" hidden="1" builtinId="9"/>
    <cellStyle name="Followed Hyperlink" xfId="7370" hidden="1" builtinId="9"/>
    <cellStyle name="Followed Hyperlink" xfId="7371" hidden="1" builtinId="9"/>
    <cellStyle name="Followed Hyperlink" xfId="7372" hidden="1" builtinId="9"/>
    <cellStyle name="Followed Hyperlink" xfId="7373" hidden="1" builtinId="9"/>
    <cellStyle name="Followed Hyperlink" xfId="7374" hidden="1" builtinId="9"/>
    <cellStyle name="Followed Hyperlink" xfId="7375" hidden="1" builtinId="9"/>
    <cellStyle name="Followed Hyperlink" xfId="7376" hidden="1" builtinId="9"/>
    <cellStyle name="Followed Hyperlink" xfId="7377" hidden="1" builtinId="9"/>
    <cellStyle name="Followed Hyperlink" xfId="7378" hidden="1" builtinId="9"/>
    <cellStyle name="Followed Hyperlink" xfId="7379" hidden="1" builtinId="9"/>
    <cellStyle name="Followed Hyperlink" xfId="7380" hidden="1" builtinId="9"/>
    <cellStyle name="Followed Hyperlink" xfId="7381" hidden="1" builtinId="9"/>
    <cellStyle name="Followed Hyperlink" xfId="7382" hidden="1" builtinId="9"/>
    <cellStyle name="Followed Hyperlink" xfId="7383" hidden="1" builtinId="9"/>
    <cellStyle name="Followed Hyperlink" xfId="7384" hidden="1" builtinId="9"/>
    <cellStyle name="Followed Hyperlink" xfId="7385" hidden="1" builtinId="9"/>
    <cellStyle name="Followed Hyperlink" xfId="7386" hidden="1" builtinId="9"/>
    <cellStyle name="Followed Hyperlink" xfId="7387" hidden="1" builtinId="9"/>
    <cellStyle name="Followed Hyperlink" xfId="7388" hidden="1" builtinId="9"/>
    <cellStyle name="Followed Hyperlink" xfId="7389" hidden="1" builtinId="9"/>
    <cellStyle name="Followed Hyperlink" xfId="7390" hidden="1" builtinId="9"/>
    <cellStyle name="Followed Hyperlink" xfId="7391" hidden="1" builtinId="9"/>
    <cellStyle name="Followed Hyperlink" xfId="7392" hidden="1" builtinId="9"/>
    <cellStyle name="Followed Hyperlink" xfId="7393" hidden="1" builtinId="9"/>
    <cellStyle name="Followed Hyperlink" xfId="7394" hidden="1" builtinId="9"/>
    <cellStyle name="Followed Hyperlink" xfId="7395" hidden="1" builtinId="9"/>
    <cellStyle name="Followed Hyperlink" xfId="7396" hidden="1" builtinId="9"/>
    <cellStyle name="Followed Hyperlink" xfId="7397" hidden="1" builtinId="9"/>
    <cellStyle name="Followed Hyperlink" xfId="7398" hidden="1" builtinId="9"/>
    <cellStyle name="Followed Hyperlink" xfId="7399" hidden="1" builtinId="9"/>
    <cellStyle name="Followed Hyperlink" xfId="7400" hidden="1" builtinId="9"/>
    <cellStyle name="Followed Hyperlink" xfId="7401" hidden="1" builtinId="9"/>
    <cellStyle name="Followed Hyperlink" xfId="7402" hidden="1" builtinId="9"/>
    <cellStyle name="Followed Hyperlink" xfId="7403" hidden="1" builtinId="9"/>
    <cellStyle name="Followed Hyperlink" xfId="7404" hidden="1" builtinId="9"/>
    <cellStyle name="Followed Hyperlink" xfId="7405" hidden="1" builtinId="9"/>
    <cellStyle name="Followed Hyperlink" xfId="7406" hidden="1" builtinId="9"/>
    <cellStyle name="Followed Hyperlink" xfId="7407" hidden="1" builtinId="9"/>
    <cellStyle name="Followed Hyperlink" xfId="7408" hidden="1" builtinId="9"/>
    <cellStyle name="Followed Hyperlink" xfId="7409" hidden="1" builtinId="9"/>
    <cellStyle name="Followed Hyperlink" xfId="7410" hidden="1" builtinId="9"/>
    <cellStyle name="Followed Hyperlink" xfId="7411" hidden="1" builtinId="9"/>
    <cellStyle name="Followed Hyperlink" xfId="7412" hidden="1" builtinId="9"/>
    <cellStyle name="Followed Hyperlink" xfId="7413" hidden="1" builtinId="9"/>
    <cellStyle name="Followed Hyperlink" xfId="7414" hidden="1" builtinId="9"/>
    <cellStyle name="Followed Hyperlink" xfId="7415" hidden="1" builtinId="9"/>
    <cellStyle name="Followed Hyperlink" xfId="7416" hidden="1" builtinId="9"/>
    <cellStyle name="Followed Hyperlink" xfId="7417" hidden="1" builtinId="9"/>
    <cellStyle name="Followed Hyperlink" xfId="7418" hidden="1" builtinId="9"/>
    <cellStyle name="Followed Hyperlink" xfId="7419" hidden="1" builtinId="9"/>
    <cellStyle name="Followed Hyperlink" xfId="7420" hidden="1" builtinId="9"/>
    <cellStyle name="Followed Hyperlink" xfId="7421" hidden="1" builtinId="9"/>
    <cellStyle name="Followed Hyperlink" xfId="7422" hidden="1" builtinId="9"/>
    <cellStyle name="Followed Hyperlink" xfId="7423" hidden="1" builtinId="9"/>
    <cellStyle name="Followed Hyperlink" xfId="7424" hidden="1" builtinId="9"/>
    <cellStyle name="Followed Hyperlink" xfId="7425" hidden="1" builtinId="9"/>
    <cellStyle name="Followed Hyperlink" xfId="7426" hidden="1" builtinId="9"/>
    <cellStyle name="Followed Hyperlink" xfId="7427" hidden="1" builtinId="9"/>
    <cellStyle name="Followed Hyperlink" xfId="7428" hidden="1" builtinId="9"/>
    <cellStyle name="Followed Hyperlink" xfId="7429" hidden="1" builtinId="9"/>
    <cellStyle name="Followed Hyperlink" xfId="7430" hidden="1" builtinId="9"/>
    <cellStyle name="Followed Hyperlink" xfId="7431" hidden="1" builtinId="9"/>
    <cellStyle name="Followed Hyperlink" xfId="7432" hidden="1" builtinId="9"/>
    <cellStyle name="Followed Hyperlink" xfId="7433" hidden="1" builtinId="9"/>
    <cellStyle name="Followed Hyperlink" xfId="7434" hidden="1" builtinId="9"/>
    <cellStyle name="Followed Hyperlink" xfId="7435" hidden="1" builtinId="9"/>
    <cellStyle name="Followed Hyperlink" xfId="7436" hidden="1" builtinId="9"/>
    <cellStyle name="Followed Hyperlink" xfId="7437" hidden="1" builtinId="9"/>
    <cellStyle name="Followed Hyperlink" xfId="7438" hidden="1" builtinId="9"/>
    <cellStyle name="Followed Hyperlink" xfId="7439" hidden="1" builtinId="9"/>
    <cellStyle name="Followed Hyperlink" xfId="7440" hidden="1" builtinId="9"/>
    <cellStyle name="Followed Hyperlink" xfId="7441" hidden="1" builtinId="9"/>
    <cellStyle name="Followed Hyperlink" xfId="7442" hidden="1" builtinId="9"/>
    <cellStyle name="Followed Hyperlink" xfId="7443" hidden="1" builtinId="9"/>
    <cellStyle name="Followed Hyperlink" xfId="7444" hidden="1" builtinId="9"/>
    <cellStyle name="Followed Hyperlink" xfId="7445" hidden="1" builtinId="9"/>
    <cellStyle name="Followed Hyperlink" xfId="7446" hidden="1" builtinId="9"/>
    <cellStyle name="Followed Hyperlink" xfId="7447" hidden="1" builtinId="9"/>
    <cellStyle name="Followed Hyperlink" xfId="7448" hidden="1" builtinId="9"/>
    <cellStyle name="Followed Hyperlink" xfId="7449" hidden="1" builtinId="9"/>
    <cellStyle name="Followed Hyperlink" xfId="7450" hidden="1" builtinId="9"/>
    <cellStyle name="Followed Hyperlink" xfId="7451" hidden="1" builtinId="9"/>
    <cellStyle name="Followed Hyperlink" xfId="7452" hidden="1" builtinId="9"/>
    <cellStyle name="Followed Hyperlink" xfId="7453" hidden="1" builtinId="9"/>
    <cellStyle name="Followed Hyperlink" xfId="7454" hidden="1" builtinId="9"/>
    <cellStyle name="Followed Hyperlink" xfId="7455" hidden="1" builtinId="9"/>
    <cellStyle name="Followed Hyperlink" xfId="7456" hidden="1" builtinId="9"/>
    <cellStyle name="Followed Hyperlink" xfId="7457" hidden="1" builtinId="9"/>
    <cellStyle name="Followed Hyperlink" xfId="7458" hidden="1" builtinId="9"/>
    <cellStyle name="Followed Hyperlink" xfId="7459" hidden="1" builtinId="9"/>
    <cellStyle name="Followed Hyperlink" xfId="7460" hidden="1" builtinId="9"/>
    <cellStyle name="Followed Hyperlink" xfId="7461" hidden="1" builtinId="9"/>
    <cellStyle name="Followed Hyperlink" xfId="7462" hidden="1" builtinId="9"/>
    <cellStyle name="Followed Hyperlink" xfId="7463" hidden="1" builtinId="9"/>
    <cellStyle name="Followed Hyperlink" xfId="7464" hidden="1" builtinId="9"/>
    <cellStyle name="Followed Hyperlink" xfId="7465" hidden="1" builtinId="9"/>
    <cellStyle name="Followed Hyperlink" xfId="7466" hidden="1" builtinId="9"/>
    <cellStyle name="Followed Hyperlink" xfId="7467" hidden="1" builtinId="9"/>
    <cellStyle name="Followed Hyperlink" xfId="7468" hidden="1" builtinId="9"/>
    <cellStyle name="Followed Hyperlink" xfId="7469" hidden="1" builtinId="9"/>
    <cellStyle name="Followed Hyperlink" xfId="7470" hidden="1" builtinId="9"/>
    <cellStyle name="Followed Hyperlink" xfId="7471" hidden="1" builtinId="9"/>
    <cellStyle name="Followed Hyperlink" xfId="7472" hidden="1" builtinId="9"/>
    <cellStyle name="Followed Hyperlink" xfId="7473" hidden="1" builtinId="9"/>
    <cellStyle name="Followed Hyperlink" xfId="7474" hidden="1" builtinId="9"/>
    <cellStyle name="Followed Hyperlink" xfId="7475" hidden="1" builtinId="9"/>
    <cellStyle name="Followed Hyperlink" xfId="7476" hidden="1" builtinId="9"/>
    <cellStyle name="Followed Hyperlink" xfId="7477" hidden="1" builtinId="9"/>
    <cellStyle name="Followed Hyperlink" xfId="7478" hidden="1" builtinId="9"/>
    <cellStyle name="Followed Hyperlink" xfId="7479" hidden="1" builtinId="9"/>
    <cellStyle name="Followed Hyperlink" xfId="7480" hidden="1" builtinId="9"/>
    <cellStyle name="Followed Hyperlink" xfId="7481" hidden="1" builtinId="9"/>
    <cellStyle name="Followed Hyperlink" xfId="7482" hidden="1" builtinId="9"/>
    <cellStyle name="Followed Hyperlink" xfId="7483" hidden="1" builtinId="9"/>
    <cellStyle name="Followed Hyperlink" xfId="7484" hidden="1" builtinId="9"/>
    <cellStyle name="Followed Hyperlink" xfId="7485" hidden="1" builtinId="9"/>
    <cellStyle name="Followed Hyperlink" xfId="7486" hidden="1" builtinId="9"/>
    <cellStyle name="Followed Hyperlink" xfId="7487" hidden="1" builtinId="9"/>
    <cellStyle name="Followed Hyperlink" xfId="7488" hidden="1" builtinId="9"/>
    <cellStyle name="Followed Hyperlink" xfId="7489" hidden="1" builtinId="9"/>
    <cellStyle name="Followed Hyperlink" xfId="7490" hidden="1" builtinId="9"/>
    <cellStyle name="Followed Hyperlink" xfId="7491" hidden="1" builtinId="9"/>
    <cellStyle name="Followed Hyperlink" xfId="7492" hidden="1" builtinId="9"/>
    <cellStyle name="Followed Hyperlink" xfId="7493" hidden="1" builtinId="9"/>
    <cellStyle name="Followed Hyperlink" xfId="7494" hidden="1" builtinId="9"/>
    <cellStyle name="Followed Hyperlink" xfId="7495" hidden="1" builtinId="9"/>
    <cellStyle name="Followed Hyperlink" xfId="7496" hidden="1" builtinId="9"/>
    <cellStyle name="Followed Hyperlink" xfId="7497" hidden="1" builtinId="9"/>
    <cellStyle name="Followed Hyperlink" xfId="7498" hidden="1" builtinId="9"/>
    <cellStyle name="Followed Hyperlink" xfId="7499" hidden="1" builtinId="9"/>
    <cellStyle name="Followed Hyperlink" xfId="7500" hidden="1" builtinId="9"/>
    <cellStyle name="Followed Hyperlink" xfId="7501" hidden="1" builtinId="9"/>
    <cellStyle name="Followed Hyperlink" xfId="7502" hidden="1" builtinId="9"/>
    <cellStyle name="Followed Hyperlink" xfId="7503" hidden="1" builtinId="9"/>
    <cellStyle name="Followed Hyperlink" xfId="7504" hidden="1" builtinId="9"/>
    <cellStyle name="Followed Hyperlink" xfId="7505" hidden="1" builtinId="9"/>
    <cellStyle name="Followed Hyperlink" xfId="7506" hidden="1" builtinId="9"/>
    <cellStyle name="Followed Hyperlink" xfId="7507" hidden="1" builtinId="9"/>
    <cellStyle name="Followed Hyperlink" xfId="7508" hidden="1" builtinId="9"/>
    <cellStyle name="Followed Hyperlink" xfId="7509" hidden="1" builtinId="9"/>
    <cellStyle name="Followed Hyperlink" xfId="7510" hidden="1" builtinId="9"/>
    <cellStyle name="Followed Hyperlink" xfId="7511" hidden="1" builtinId="9"/>
    <cellStyle name="Followed Hyperlink" xfId="7512" hidden="1" builtinId="9"/>
    <cellStyle name="Followed Hyperlink" xfId="7513" hidden="1" builtinId="9"/>
    <cellStyle name="Followed Hyperlink" xfId="7514" hidden="1" builtinId="9"/>
    <cellStyle name="Followed Hyperlink" xfId="7515" hidden="1" builtinId="9"/>
    <cellStyle name="Followed Hyperlink" xfId="7516" hidden="1" builtinId="9"/>
    <cellStyle name="Followed Hyperlink" xfId="7517" hidden="1" builtinId="9"/>
    <cellStyle name="Followed Hyperlink" xfId="7518" hidden="1" builtinId="9"/>
    <cellStyle name="Followed Hyperlink" xfId="7519" hidden="1" builtinId="9"/>
    <cellStyle name="Followed Hyperlink" xfId="7520" hidden="1" builtinId="9"/>
    <cellStyle name="Followed Hyperlink" xfId="7521" hidden="1" builtinId="9"/>
    <cellStyle name="Followed Hyperlink" xfId="7522" hidden="1" builtinId="9"/>
    <cellStyle name="Followed Hyperlink" xfId="7523" hidden="1" builtinId="9"/>
    <cellStyle name="Followed Hyperlink" xfId="7524" hidden="1" builtinId="9"/>
    <cellStyle name="Followed Hyperlink" xfId="7525" hidden="1" builtinId="9"/>
    <cellStyle name="Followed Hyperlink" xfId="7526" hidden="1" builtinId="9"/>
    <cellStyle name="Followed Hyperlink" xfId="7527" hidden="1" builtinId="9"/>
    <cellStyle name="Followed Hyperlink" xfId="7528" hidden="1" builtinId="9"/>
    <cellStyle name="Followed Hyperlink" xfId="7529" hidden="1" builtinId="9"/>
    <cellStyle name="Followed Hyperlink" xfId="7530" hidden="1" builtinId="9"/>
    <cellStyle name="Followed Hyperlink" xfId="7531" hidden="1" builtinId="9"/>
    <cellStyle name="Followed Hyperlink" xfId="7532" hidden="1" builtinId="9"/>
    <cellStyle name="Followed Hyperlink" xfId="7533" hidden="1" builtinId="9"/>
    <cellStyle name="Followed Hyperlink" xfId="7534" hidden="1" builtinId="9"/>
    <cellStyle name="Followed Hyperlink" xfId="7535" hidden="1" builtinId="9"/>
    <cellStyle name="Followed Hyperlink" xfId="7536" hidden="1" builtinId="9"/>
    <cellStyle name="Followed Hyperlink" xfId="7537" hidden="1" builtinId="9"/>
    <cellStyle name="Followed Hyperlink" xfId="7538" hidden="1" builtinId="9"/>
    <cellStyle name="Followed Hyperlink" xfId="7539" hidden="1" builtinId="9"/>
    <cellStyle name="Followed Hyperlink" xfId="7540" hidden="1" builtinId="9"/>
    <cellStyle name="Followed Hyperlink" xfId="7541" hidden="1" builtinId="9"/>
    <cellStyle name="Followed Hyperlink" xfId="7542" hidden="1" builtinId="9"/>
    <cellStyle name="Followed Hyperlink" xfId="7543" hidden="1" builtinId="9"/>
    <cellStyle name="Followed Hyperlink" xfId="7544" hidden="1" builtinId="9"/>
    <cellStyle name="Followed Hyperlink" xfId="7545" hidden="1" builtinId="9"/>
    <cellStyle name="Followed Hyperlink" xfId="7546" hidden="1" builtinId="9"/>
    <cellStyle name="Followed Hyperlink" xfId="7547" hidden="1" builtinId="9"/>
    <cellStyle name="Followed Hyperlink" xfId="7548" hidden="1" builtinId="9"/>
    <cellStyle name="Followed Hyperlink" xfId="7549" hidden="1" builtinId="9"/>
    <cellStyle name="Followed Hyperlink" xfId="7550" hidden="1" builtinId="9"/>
    <cellStyle name="Followed Hyperlink" xfId="7551" hidden="1" builtinId="9"/>
    <cellStyle name="Followed Hyperlink" xfId="7552" hidden="1" builtinId="9"/>
    <cellStyle name="Followed Hyperlink" xfId="7553" hidden="1" builtinId="9"/>
    <cellStyle name="Followed Hyperlink" xfId="7554" hidden="1" builtinId="9"/>
    <cellStyle name="Followed Hyperlink" xfId="7555" hidden="1" builtinId="9"/>
    <cellStyle name="Followed Hyperlink" xfId="7556" hidden="1" builtinId="9"/>
    <cellStyle name="Followed Hyperlink" xfId="7557" hidden="1" builtinId="9"/>
    <cellStyle name="Followed Hyperlink" xfId="7558" hidden="1" builtinId="9"/>
    <cellStyle name="Followed Hyperlink" xfId="7559" hidden="1" builtinId="9"/>
    <cellStyle name="Followed Hyperlink" xfId="7560" hidden="1" builtinId="9"/>
    <cellStyle name="Followed Hyperlink" xfId="7561" hidden="1" builtinId="9"/>
    <cellStyle name="Followed Hyperlink" xfId="7562" hidden="1" builtinId="9"/>
    <cellStyle name="Followed Hyperlink" xfId="7563" hidden="1" builtinId="9"/>
    <cellStyle name="Followed Hyperlink" xfId="7564" hidden="1" builtinId="9"/>
    <cellStyle name="Followed Hyperlink" xfId="7565" hidden="1" builtinId="9"/>
    <cellStyle name="Followed Hyperlink" xfId="7566" hidden="1" builtinId="9"/>
    <cellStyle name="Followed Hyperlink" xfId="7567" hidden="1" builtinId="9"/>
    <cellStyle name="Followed Hyperlink" xfId="7568" hidden="1" builtinId="9"/>
    <cellStyle name="Followed Hyperlink" xfId="7569" hidden="1" builtinId="9"/>
    <cellStyle name="Followed Hyperlink" xfId="7570" hidden="1" builtinId="9"/>
    <cellStyle name="Followed Hyperlink" xfId="7571" hidden="1" builtinId="9"/>
    <cellStyle name="Followed Hyperlink" xfId="7572" hidden="1" builtinId="9"/>
    <cellStyle name="Followed Hyperlink" xfId="7573" hidden="1" builtinId="9"/>
    <cellStyle name="Followed Hyperlink" xfId="7574" hidden="1" builtinId="9"/>
    <cellStyle name="Followed Hyperlink" xfId="7575" hidden="1" builtinId="9"/>
    <cellStyle name="Followed Hyperlink" xfId="7576" hidden="1" builtinId="9"/>
    <cellStyle name="Followed Hyperlink" xfId="7577" hidden="1" builtinId="9"/>
    <cellStyle name="Followed Hyperlink" xfId="7578" hidden="1" builtinId="9"/>
    <cellStyle name="Followed Hyperlink" xfId="7579" hidden="1" builtinId="9"/>
    <cellStyle name="Followed Hyperlink" xfId="7580" hidden="1" builtinId="9"/>
    <cellStyle name="Followed Hyperlink" xfId="7581" hidden="1" builtinId="9"/>
    <cellStyle name="Followed Hyperlink" xfId="7582" hidden="1" builtinId="9"/>
    <cellStyle name="Followed Hyperlink" xfId="7583" hidden="1" builtinId="9"/>
    <cellStyle name="Followed Hyperlink" xfId="7584" hidden="1" builtinId="9"/>
    <cellStyle name="Followed Hyperlink" xfId="7585" hidden="1" builtinId="9"/>
    <cellStyle name="Followed Hyperlink" xfId="7586" hidden="1" builtinId="9"/>
    <cellStyle name="Followed Hyperlink" xfId="7587" hidden="1" builtinId="9"/>
    <cellStyle name="Followed Hyperlink" xfId="7588" hidden="1" builtinId="9"/>
    <cellStyle name="Followed Hyperlink" xfId="7589" hidden="1" builtinId="9"/>
    <cellStyle name="Followed Hyperlink" xfId="7590" hidden="1" builtinId="9"/>
    <cellStyle name="Followed Hyperlink" xfId="7591" hidden="1" builtinId="9"/>
    <cellStyle name="Followed Hyperlink" xfId="7592" hidden="1" builtinId="9"/>
    <cellStyle name="Followed Hyperlink" xfId="7593" hidden="1" builtinId="9"/>
    <cellStyle name="Followed Hyperlink" xfId="7594" hidden="1" builtinId="9"/>
    <cellStyle name="Followed Hyperlink" xfId="7595" hidden="1" builtinId="9"/>
    <cellStyle name="Followed Hyperlink" xfId="7596" hidden="1" builtinId="9"/>
    <cellStyle name="Followed Hyperlink" xfId="7597" hidden="1" builtinId="9"/>
    <cellStyle name="Followed Hyperlink" xfId="7598" hidden="1" builtinId="9"/>
    <cellStyle name="Followed Hyperlink" xfId="7599" hidden="1" builtinId="9"/>
    <cellStyle name="Followed Hyperlink" xfId="7600" hidden="1" builtinId="9"/>
    <cellStyle name="Followed Hyperlink" xfId="7601" hidden="1" builtinId="9"/>
    <cellStyle name="Followed Hyperlink" xfId="7602" hidden="1" builtinId="9"/>
    <cellStyle name="Followed Hyperlink" xfId="7603" hidden="1" builtinId="9"/>
    <cellStyle name="Followed Hyperlink" xfId="7604" hidden="1" builtinId="9"/>
    <cellStyle name="Followed Hyperlink" xfId="7605" hidden="1" builtinId="9"/>
    <cellStyle name="Followed Hyperlink" xfId="7606" hidden="1" builtinId="9"/>
    <cellStyle name="Followed Hyperlink" xfId="7607" hidden="1" builtinId="9"/>
    <cellStyle name="Followed Hyperlink" xfId="7608" hidden="1" builtinId="9"/>
    <cellStyle name="Followed Hyperlink" xfId="7609" hidden="1" builtinId="9"/>
    <cellStyle name="Followed Hyperlink" xfId="7610" hidden="1" builtinId="9"/>
    <cellStyle name="Followed Hyperlink" xfId="7611" hidden="1" builtinId="9"/>
    <cellStyle name="Followed Hyperlink" xfId="7612" hidden="1" builtinId="9"/>
    <cellStyle name="Followed Hyperlink" xfId="7613" hidden="1" builtinId="9"/>
    <cellStyle name="Followed Hyperlink" xfId="7614" hidden="1" builtinId="9"/>
    <cellStyle name="Followed Hyperlink" xfId="7615" hidden="1" builtinId="9"/>
    <cellStyle name="Followed Hyperlink" xfId="7616" hidden="1" builtinId="9"/>
    <cellStyle name="Followed Hyperlink" xfId="7617" hidden="1" builtinId="9"/>
    <cellStyle name="Followed Hyperlink" xfId="7618" hidden="1" builtinId="9"/>
    <cellStyle name="Followed Hyperlink" xfId="7619" hidden="1" builtinId="9"/>
    <cellStyle name="Followed Hyperlink" xfId="7620" hidden="1" builtinId="9"/>
    <cellStyle name="Followed Hyperlink" xfId="7621" hidden="1" builtinId="9"/>
    <cellStyle name="Followed Hyperlink" xfId="7622" hidden="1" builtinId="9"/>
    <cellStyle name="Followed Hyperlink" xfId="7623" hidden="1" builtinId="9"/>
    <cellStyle name="Followed Hyperlink" xfId="7624" hidden="1" builtinId="9"/>
    <cellStyle name="Followed Hyperlink" xfId="7625" hidden="1" builtinId="9"/>
    <cellStyle name="Followed Hyperlink" xfId="7626" hidden="1" builtinId="9"/>
    <cellStyle name="Followed Hyperlink" xfId="7627" hidden="1" builtinId="9"/>
    <cellStyle name="Followed Hyperlink" xfId="7628" hidden="1" builtinId="9"/>
    <cellStyle name="Followed Hyperlink" xfId="7629" hidden="1" builtinId="9"/>
    <cellStyle name="Followed Hyperlink" xfId="7630" hidden="1" builtinId="9"/>
    <cellStyle name="Followed Hyperlink" xfId="7631" hidden="1" builtinId="9"/>
    <cellStyle name="Followed Hyperlink" xfId="7632" hidden="1" builtinId="9"/>
    <cellStyle name="Followed Hyperlink" xfId="7633" hidden="1" builtinId="9"/>
    <cellStyle name="Followed Hyperlink" xfId="7634" hidden="1" builtinId="9"/>
    <cellStyle name="Followed Hyperlink" xfId="7635" hidden="1" builtinId="9"/>
    <cellStyle name="Followed Hyperlink" xfId="7636" hidden="1" builtinId="9"/>
    <cellStyle name="Followed Hyperlink" xfId="7637" hidden="1" builtinId="9"/>
    <cellStyle name="Followed Hyperlink" xfId="7638" hidden="1" builtinId="9"/>
    <cellStyle name="Followed Hyperlink" xfId="7639" hidden="1" builtinId="9"/>
    <cellStyle name="Followed Hyperlink" xfId="7640" hidden="1" builtinId="9"/>
    <cellStyle name="Followed Hyperlink" xfId="7641" hidden="1" builtinId="9"/>
    <cellStyle name="Followed Hyperlink" xfId="7642" hidden="1" builtinId="9"/>
    <cellStyle name="Followed Hyperlink" xfId="7643" hidden="1" builtinId="9"/>
    <cellStyle name="Followed Hyperlink" xfId="7644" hidden="1" builtinId="9"/>
    <cellStyle name="Followed Hyperlink" xfId="7645" hidden="1" builtinId="9"/>
    <cellStyle name="Followed Hyperlink" xfId="7646" hidden="1" builtinId="9"/>
    <cellStyle name="Followed Hyperlink" xfId="7647" hidden="1" builtinId="9"/>
    <cellStyle name="Followed Hyperlink" xfId="7648" hidden="1" builtinId="9"/>
    <cellStyle name="Followed Hyperlink" xfId="7649" hidden="1" builtinId="9"/>
    <cellStyle name="Followed Hyperlink" xfId="7650" hidden="1" builtinId="9"/>
    <cellStyle name="Followed Hyperlink" xfId="7651" hidden="1" builtinId="9"/>
    <cellStyle name="Followed Hyperlink" xfId="7652" hidden="1" builtinId="9"/>
    <cellStyle name="Followed Hyperlink" xfId="7653" hidden="1" builtinId="9"/>
    <cellStyle name="Followed Hyperlink" xfId="7654" hidden="1" builtinId="9"/>
    <cellStyle name="Followed Hyperlink" xfId="7655" hidden="1" builtinId="9"/>
    <cellStyle name="Followed Hyperlink" xfId="7656" hidden="1" builtinId="9"/>
    <cellStyle name="Followed Hyperlink" xfId="7657" hidden="1" builtinId="9"/>
    <cellStyle name="Followed Hyperlink" xfId="7658" hidden="1" builtinId="9"/>
    <cellStyle name="Followed Hyperlink" xfId="7659" hidden="1" builtinId="9"/>
    <cellStyle name="Followed Hyperlink" xfId="7660" hidden="1" builtinId="9"/>
    <cellStyle name="Followed Hyperlink" xfId="7661" hidden="1" builtinId="9"/>
    <cellStyle name="Followed Hyperlink" xfId="7662" hidden="1" builtinId="9"/>
    <cellStyle name="Followed Hyperlink" xfId="7663" hidden="1" builtinId="9"/>
    <cellStyle name="Followed Hyperlink" xfId="7664" hidden="1" builtinId="9"/>
    <cellStyle name="Followed Hyperlink" xfId="7665" hidden="1" builtinId="9"/>
    <cellStyle name="Followed Hyperlink" xfId="7666" hidden="1" builtinId="9"/>
    <cellStyle name="Followed Hyperlink" xfId="7667" hidden="1" builtinId="9"/>
    <cellStyle name="Followed Hyperlink" xfId="7668" hidden="1" builtinId="9"/>
    <cellStyle name="Followed Hyperlink" xfId="7669" hidden="1" builtinId="9"/>
    <cellStyle name="Followed Hyperlink" xfId="7670" hidden="1" builtinId="9"/>
    <cellStyle name="Followed Hyperlink" xfId="7671" hidden="1" builtinId="9"/>
    <cellStyle name="Followed Hyperlink" xfId="7672" hidden="1" builtinId="9"/>
    <cellStyle name="Followed Hyperlink" xfId="7673" hidden="1" builtinId="9"/>
    <cellStyle name="Followed Hyperlink" xfId="7674" hidden="1" builtinId="9"/>
    <cellStyle name="Followed Hyperlink" xfId="7675" hidden="1" builtinId="9"/>
    <cellStyle name="Followed Hyperlink" xfId="7676" hidden="1" builtinId="9"/>
    <cellStyle name="Followed Hyperlink" xfId="7677" hidden="1" builtinId="9"/>
    <cellStyle name="Followed Hyperlink" xfId="7678" hidden="1" builtinId="9"/>
    <cellStyle name="Followed Hyperlink" xfId="7679" hidden="1" builtinId="9"/>
    <cellStyle name="Followed Hyperlink" xfId="7680" hidden="1" builtinId="9"/>
    <cellStyle name="Followed Hyperlink" xfId="7681" hidden="1" builtinId="9"/>
    <cellStyle name="Followed Hyperlink" xfId="7682" hidden="1" builtinId="9"/>
    <cellStyle name="Followed Hyperlink" xfId="7683" hidden="1" builtinId="9"/>
    <cellStyle name="Followed Hyperlink" xfId="7684" hidden="1" builtinId="9"/>
    <cellStyle name="Followed Hyperlink" xfId="7685" hidden="1" builtinId="9"/>
    <cellStyle name="Followed Hyperlink" xfId="7686" hidden="1" builtinId="9"/>
    <cellStyle name="Followed Hyperlink" xfId="7687" hidden="1" builtinId="9"/>
    <cellStyle name="Followed Hyperlink" xfId="7688" hidden="1" builtinId="9"/>
    <cellStyle name="Followed Hyperlink" xfId="7689" hidden="1" builtinId="9"/>
    <cellStyle name="Followed Hyperlink" xfId="7690" hidden="1" builtinId="9"/>
    <cellStyle name="Followed Hyperlink" xfId="7691" hidden="1" builtinId="9"/>
    <cellStyle name="Followed Hyperlink" xfId="7692" hidden="1" builtinId="9"/>
    <cellStyle name="Followed Hyperlink" xfId="7693" hidden="1" builtinId="9"/>
    <cellStyle name="Followed Hyperlink" xfId="7694" hidden="1" builtinId="9"/>
    <cellStyle name="Followed Hyperlink" xfId="7695" hidden="1" builtinId="9"/>
    <cellStyle name="Followed Hyperlink" xfId="7696" hidden="1" builtinId="9"/>
    <cellStyle name="Followed Hyperlink" xfId="7697" hidden="1" builtinId="9"/>
    <cellStyle name="Followed Hyperlink" xfId="7698" hidden="1" builtinId="9"/>
    <cellStyle name="Followed Hyperlink" xfId="7699" hidden="1" builtinId="9"/>
    <cellStyle name="Followed Hyperlink" xfId="7700" hidden="1" builtinId="9"/>
    <cellStyle name="Followed Hyperlink" xfId="7701" hidden="1" builtinId="9"/>
    <cellStyle name="Followed Hyperlink" xfId="7702" hidden="1" builtinId="9"/>
    <cellStyle name="Followed Hyperlink" xfId="7703" hidden="1" builtinId="9"/>
    <cellStyle name="Followed Hyperlink" xfId="7704" hidden="1" builtinId="9"/>
    <cellStyle name="Followed Hyperlink" xfId="7705" hidden="1" builtinId="9"/>
    <cellStyle name="Followed Hyperlink" xfId="7706" hidden="1" builtinId="9"/>
    <cellStyle name="Followed Hyperlink" xfId="7707" hidden="1" builtinId="9"/>
    <cellStyle name="Followed Hyperlink" xfId="7708" hidden="1" builtinId="9"/>
    <cellStyle name="Followed Hyperlink" xfId="7709" hidden="1" builtinId="9"/>
    <cellStyle name="Followed Hyperlink" xfId="7710" hidden="1" builtinId="9"/>
    <cellStyle name="Followed Hyperlink" xfId="7711" hidden="1" builtinId="9"/>
    <cellStyle name="Followed Hyperlink" xfId="7712" hidden="1" builtinId="9"/>
    <cellStyle name="Followed Hyperlink" xfId="7713" hidden="1" builtinId="9"/>
    <cellStyle name="Followed Hyperlink" xfId="7714" hidden="1" builtinId="9"/>
    <cellStyle name="Followed Hyperlink" xfId="7715" hidden="1" builtinId="9"/>
    <cellStyle name="Followed Hyperlink" xfId="7716" hidden="1" builtinId="9"/>
    <cellStyle name="Followed Hyperlink" xfId="7717" hidden="1" builtinId="9"/>
    <cellStyle name="Followed Hyperlink" xfId="7718" hidden="1" builtinId="9"/>
    <cellStyle name="Followed Hyperlink" xfId="7719" hidden="1" builtinId="9"/>
    <cellStyle name="Followed Hyperlink" xfId="7720" hidden="1" builtinId="9"/>
    <cellStyle name="Followed Hyperlink" xfId="7721" hidden="1" builtinId="9"/>
    <cellStyle name="Followed Hyperlink" xfId="7722" hidden="1" builtinId="9"/>
    <cellStyle name="Followed Hyperlink" xfId="7723" hidden="1" builtinId="9"/>
    <cellStyle name="Followed Hyperlink" xfId="7724" hidden="1" builtinId="9"/>
    <cellStyle name="Followed Hyperlink" xfId="7725" hidden="1" builtinId="9"/>
    <cellStyle name="Followed Hyperlink" xfId="7726" hidden="1" builtinId="9"/>
    <cellStyle name="Followed Hyperlink" xfId="7727" hidden="1" builtinId="9"/>
    <cellStyle name="Followed Hyperlink" xfId="7728" hidden="1" builtinId="9"/>
    <cellStyle name="Followed Hyperlink" xfId="7729" hidden="1" builtinId="9"/>
    <cellStyle name="Followed Hyperlink" xfId="7730" hidden="1" builtinId="9"/>
    <cellStyle name="Followed Hyperlink" xfId="7731" hidden="1" builtinId="9"/>
    <cellStyle name="Followed Hyperlink" xfId="7732" hidden="1" builtinId="9"/>
    <cellStyle name="Followed Hyperlink" xfId="7733" hidden="1" builtinId="9"/>
    <cellStyle name="Followed Hyperlink" xfId="7734" hidden="1" builtinId="9"/>
    <cellStyle name="Followed Hyperlink" xfId="7735" hidden="1" builtinId="9"/>
    <cellStyle name="Followed Hyperlink" xfId="7736" hidden="1" builtinId="9"/>
    <cellStyle name="Followed Hyperlink" xfId="7737" hidden="1" builtinId="9"/>
    <cellStyle name="Followed Hyperlink" xfId="7738" hidden="1" builtinId="9"/>
    <cellStyle name="Followed Hyperlink" xfId="7739" hidden="1" builtinId="9"/>
    <cellStyle name="Followed Hyperlink" xfId="7740" hidden="1" builtinId="9"/>
    <cellStyle name="Followed Hyperlink" xfId="7741" hidden="1" builtinId="9"/>
    <cellStyle name="Followed Hyperlink" xfId="7742" hidden="1" builtinId="9"/>
    <cellStyle name="Followed Hyperlink" xfId="7743" hidden="1" builtinId="9"/>
    <cellStyle name="Followed Hyperlink" xfId="7744" hidden="1" builtinId="9"/>
    <cellStyle name="Followed Hyperlink" xfId="7745" hidden="1" builtinId="9"/>
    <cellStyle name="Followed Hyperlink" xfId="7746" hidden="1" builtinId="9"/>
    <cellStyle name="Followed Hyperlink" xfId="7747" hidden="1" builtinId="9"/>
    <cellStyle name="Followed Hyperlink" xfId="7748" hidden="1" builtinId="9"/>
    <cellStyle name="Followed Hyperlink" xfId="7749" hidden="1" builtinId="9"/>
    <cellStyle name="Followed Hyperlink" xfId="7750" hidden="1" builtinId="9"/>
    <cellStyle name="Followed Hyperlink" xfId="7751" hidden="1" builtinId="9"/>
    <cellStyle name="Followed Hyperlink" xfId="7752" hidden="1" builtinId="9"/>
    <cellStyle name="Followed Hyperlink" xfId="7753" hidden="1" builtinId="9"/>
    <cellStyle name="Followed Hyperlink" xfId="7754" hidden="1" builtinId="9"/>
    <cellStyle name="Followed Hyperlink" xfId="7755" hidden="1" builtinId="9"/>
    <cellStyle name="Followed Hyperlink" xfId="7756" hidden="1" builtinId="9"/>
    <cellStyle name="Followed Hyperlink" xfId="7757" hidden="1" builtinId="9"/>
    <cellStyle name="Followed Hyperlink" xfId="7758" hidden="1" builtinId="9"/>
    <cellStyle name="Followed Hyperlink" xfId="7759" hidden="1" builtinId="9"/>
    <cellStyle name="Followed Hyperlink" xfId="7760" hidden="1" builtinId="9"/>
    <cellStyle name="Followed Hyperlink" xfId="7761" hidden="1" builtinId="9"/>
    <cellStyle name="Followed Hyperlink" xfId="7762" hidden="1" builtinId="9"/>
    <cellStyle name="Followed Hyperlink" xfId="7763" hidden="1" builtinId="9"/>
    <cellStyle name="Followed Hyperlink" xfId="7764" hidden="1" builtinId="9"/>
    <cellStyle name="Followed Hyperlink" xfId="7765" hidden="1" builtinId="9"/>
    <cellStyle name="Followed Hyperlink" xfId="7766" hidden="1" builtinId="9"/>
    <cellStyle name="Followed Hyperlink" xfId="7767" hidden="1" builtinId="9"/>
    <cellStyle name="Followed Hyperlink" xfId="7768" hidden="1" builtinId="9"/>
    <cellStyle name="Followed Hyperlink" xfId="7769" hidden="1" builtinId="9"/>
    <cellStyle name="Followed Hyperlink" xfId="7770" hidden="1" builtinId="9"/>
    <cellStyle name="Followed Hyperlink" xfId="7771" hidden="1" builtinId="9"/>
    <cellStyle name="Followed Hyperlink" xfId="7772" hidden="1" builtinId="9"/>
    <cellStyle name="Followed Hyperlink" xfId="7773" hidden="1" builtinId="9"/>
    <cellStyle name="Followed Hyperlink" xfId="7774" hidden="1" builtinId="9"/>
    <cellStyle name="Followed Hyperlink" xfId="7775" hidden="1" builtinId="9"/>
    <cellStyle name="Followed Hyperlink" xfId="7776" hidden="1" builtinId="9"/>
    <cellStyle name="Followed Hyperlink" xfId="7777" hidden="1" builtinId="9"/>
    <cellStyle name="Followed Hyperlink" xfId="7778" hidden="1" builtinId="9"/>
    <cellStyle name="Followed Hyperlink" xfId="7779" hidden="1" builtinId="9"/>
    <cellStyle name="Followed Hyperlink" xfId="7780" hidden="1" builtinId="9"/>
    <cellStyle name="Followed Hyperlink" xfId="7781" hidden="1" builtinId="9"/>
    <cellStyle name="Followed Hyperlink" xfId="7782" hidden="1" builtinId="9"/>
    <cellStyle name="Followed Hyperlink" xfId="7783" hidden="1" builtinId="9"/>
    <cellStyle name="Followed Hyperlink" xfId="7784" hidden="1" builtinId="9"/>
    <cellStyle name="Followed Hyperlink" xfId="7785" hidden="1" builtinId="9"/>
    <cellStyle name="Followed Hyperlink" xfId="7786" hidden="1" builtinId="9"/>
    <cellStyle name="Followed Hyperlink" xfId="7787" hidden="1" builtinId="9"/>
    <cellStyle name="Followed Hyperlink" xfId="7788" hidden="1" builtinId="9"/>
    <cellStyle name="Followed Hyperlink" xfId="7789" hidden="1" builtinId="9"/>
    <cellStyle name="Followed Hyperlink" xfId="7790" hidden="1" builtinId="9"/>
    <cellStyle name="Followed Hyperlink" xfId="7791" hidden="1" builtinId="9"/>
    <cellStyle name="Followed Hyperlink" xfId="7792" hidden="1" builtinId="9"/>
    <cellStyle name="Followed Hyperlink" xfId="7793" hidden="1" builtinId="9"/>
    <cellStyle name="Followed Hyperlink" xfId="7794" hidden="1" builtinId="9"/>
    <cellStyle name="Followed Hyperlink" xfId="7795" hidden="1" builtinId="9"/>
    <cellStyle name="Followed Hyperlink" xfId="7796" hidden="1" builtinId="9"/>
    <cellStyle name="Followed Hyperlink" xfId="7797" hidden="1" builtinId="9"/>
    <cellStyle name="Followed Hyperlink" xfId="7798" hidden="1" builtinId="9"/>
    <cellStyle name="Followed Hyperlink" xfId="7799" hidden="1" builtinId="9"/>
    <cellStyle name="Followed Hyperlink" xfId="7800" hidden="1" builtinId="9"/>
    <cellStyle name="Followed Hyperlink" xfId="7801" hidden="1" builtinId="9"/>
    <cellStyle name="Followed Hyperlink" xfId="7802" hidden="1" builtinId="9"/>
    <cellStyle name="Followed Hyperlink" xfId="7803" hidden="1" builtinId="9"/>
    <cellStyle name="Followed Hyperlink" xfId="7804" hidden="1" builtinId="9"/>
    <cellStyle name="Followed Hyperlink" xfId="7805" hidden="1" builtinId="9"/>
    <cellStyle name="Followed Hyperlink" xfId="7806" hidden="1" builtinId="9"/>
    <cellStyle name="Followed Hyperlink" xfId="7807" hidden="1" builtinId="9"/>
    <cellStyle name="Followed Hyperlink" xfId="7808" hidden="1" builtinId="9"/>
    <cellStyle name="Followed Hyperlink" xfId="7809" hidden="1" builtinId="9"/>
    <cellStyle name="Followed Hyperlink" xfId="7810" hidden="1" builtinId="9"/>
    <cellStyle name="Followed Hyperlink" xfId="7811" hidden="1" builtinId="9"/>
    <cellStyle name="Followed Hyperlink" xfId="7812" hidden="1" builtinId="9"/>
    <cellStyle name="Followed Hyperlink" xfId="7813" hidden="1" builtinId="9"/>
    <cellStyle name="Followed Hyperlink" xfId="7814" hidden="1" builtinId="9"/>
    <cellStyle name="Followed Hyperlink" xfId="7815" hidden="1" builtinId="9"/>
    <cellStyle name="Followed Hyperlink" xfId="7816" hidden="1" builtinId="9"/>
    <cellStyle name="Followed Hyperlink" xfId="7817" hidden="1" builtinId="9"/>
    <cellStyle name="Followed Hyperlink" xfId="7818" hidden="1" builtinId="9"/>
    <cellStyle name="Followed Hyperlink" xfId="7819" hidden="1" builtinId="9"/>
    <cellStyle name="Followed Hyperlink" xfId="7820" hidden="1" builtinId="9"/>
    <cellStyle name="Followed Hyperlink" xfId="7821" hidden="1" builtinId="9"/>
    <cellStyle name="Followed Hyperlink" xfId="7822" hidden="1" builtinId="9"/>
    <cellStyle name="Followed Hyperlink" xfId="7823" hidden="1" builtinId="9"/>
    <cellStyle name="Followed Hyperlink" xfId="7824" hidden="1" builtinId="9"/>
    <cellStyle name="Followed Hyperlink" xfId="7825" hidden="1" builtinId="9"/>
    <cellStyle name="Followed Hyperlink" xfId="7826" hidden="1" builtinId="9"/>
    <cellStyle name="Followed Hyperlink" xfId="7827" hidden="1" builtinId="9"/>
    <cellStyle name="Followed Hyperlink" xfId="7828" hidden="1" builtinId="9"/>
    <cellStyle name="Followed Hyperlink" xfId="7829" hidden="1" builtinId="9"/>
    <cellStyle name="Followed Hyperlink" xfId="7830" hidden="1" builtinId="9"/>
    <cellStyle name="Followed Hyperlink" xfId="7831" hidden="1" builtinId="9"/>
    <cellStyle name="Followed Hyperlink" xfId="7832" hidden="1" builtinId="9"/>
    <cellStyle name="Followed Hyperlink" xfId="7833" hidden="1" builtinId="9"/>
    <cellStyle name="Followed Hyperlink" xfId="7834" hidden="1" builtinId="9"/>
    <cellStyle name="Followed Hyperlink" xfId="7835" hidden="1" builtinId="9"/>
    <cellStyle name="Followed Hyperlink" xfId="7836" hidden="1" builtinId="9"/>
    <cellStyle name="Followed Hyperlink" xfId="7837" hidden="1" builtinId="9"/>
    <cellStyle name="Followed Hyperlink" xfId="7838" hidden="1" builtinId="9"/>
    <cellStyle name="Followed Hyperlink" xfId="7839" hidden="1" builtinId="9"/>
    <cellStyle name="Followed Hyperlink" xfId="7840" hidden="1" builtinId="9"/>
    <cellStyle name="Followed Hyperlink" xfId="7841" hidden="1" builtinId="9"/>
    <cellStyle name="Followed Hyperlink" xfId="7842" hidden="1" builtinId="9"/>
    <cellStyle name="Followed Hyperlink" xfId="7843" hidden="1" builtinId="9"/>
    <cellStyle name="Followed Hyperlink" xfId="7844" hidden="1" builtinId="9"/>
    <cellStyle name="Followed Hyperlink" xfId="7845" hidden="1" builtinId="9"/>
    <cellStyle name="Followed Hyperlink" xfId="7846" hidden="1" builtinId="9"/>
    <cellStyle name="Followed Hyperlink" xfId="7847" hidden="1" builtinId="9"/>
    <cellStyle name="Followed Hyperlink" xfId="7848" hidden="1" builtinId="9"/>
    <cellStyle name="Followed Hyperlink" xfId="7849" hidden="1" builtinId="9"/>
    <cellStyle name="Followed Hyperlink" xfId="7850" hidden="1" builtinId="9"/>
    <cellStyle name="Followed Hyperlink" xfId="7851" hidden="1" builtinId="9"/>
    <cellStyle name="Followed Hyperlink" xfId="7852" hidden="1" builtinId="9"/>
    <cellStyle name="Followed Hyperlink" xfId="7853" hidden="1" builtinId="9"/>
    <cellStyle name="Followed Hyperlink" xfId="7854" hidden="1" builtinId="9"/>
    <cellStyle name="Followed Hyperlink" xfId="7855" hidden="1" builtinId="9"/>
    <cellStyle name="Followed Hyperlink" xfId="7856" hidden="1" builtinId="9"/>
    <cellStyle name="Followed Hyperlink" xfId="7857" hidden="1" builtinId="9"/>
    <cellStyle name="Followed Hyperlink" xfId="7858" hidden="1" builtinId="9"/>
    <cellStyle name="Followed Hyperlink" xfId="7859" hidden="1" builtinId="9"/>
    <cellStyle name="Followed Hyperlink" xfId="7860" hidden="1" builtinId="9"/>
    <cellStyle name="Followed Hyperlink" xfId="7861" hidden="1" builtinId="9"/>
    <cellStyle name="Followed Hyperlink" xfId="7862" hidden="1" builtinId="9"/>
    <cellStyle name="Followed Hyperlink" xfId="7863" hidden="1" builtinId="9"/>
    <cellStyle name="Followed Hyperlink" xfId="7864" hidden="1" builtinId="9"/>
    <cellStyle name="Followed Hyperlink" xfId="7865" hidden="1" builtinId="9"/>
    <cellStyle name="Followed Hyperlink" xfId="7866" hidden="1" builtinId="9"/>
    <cellStyle name="Followed Hyperlink" xfId="7867" hidden="1" builtinId="9"/>
    <cellStyle name="Followed Hyperlink" xfId="7868" hidden="1" builtinId="9"/>
    <cellStyle name="Followed Hyperlink" xfId="7869" hidden="1" builtinId="9"/>
    <cellStyle name="Followed Hyperlink" xfId="7870" hidden="1" builtinId="9"/>
    <cellStyle name="Followed Hyperlink" xfId="7871" hidden="1" builtinId="9"/>
    <cellStyle name="Followed Hyperlink" xfId="7872" hidden="1" builtinId="9"/>
    <cellStyle name="Followed Hyperlink" xfId="7873" hidden="1" builtinId="9"/>
    <cellStyle name="Followed Hyperlink" xfId="7874" hidden="1" builtinId="9"/>
    <cellStyle name="Followed Hyperlink" xfId="7875" hidden="1" builtinId="9"/>
    <cellStyle name="Followed Hyperlink" xfId="7876" hidden="1" builtinId="9"/>
    <cellStyle name="Followed Hyperlink" xfId="7877" hidden="1" builtinId="9"/>
    <cellStyle name="Followed Hyperlink" xfId="7878" hidden="1" builtinId="9"/>
    <cellStyle name="Followed Hyperlink" xfId="7879" hidden="1" builtinId="9"/>
    <cellStyle name="Followed Hyperlink" xfId="7880" hidden="1" builtinId="9"/>
    <cellStyle name="Followed Hyperlink" xfId="7881" hidden="1" builtinId="9"/>
    <cellStyle name="Followed Hyperlink" xfId="7882" hidden="1" builtinId="9"/>
    <cellStyle name="Followed Hyperlink" xfId="7883" hidden="1" builtinId="9"/>
    <cellStyle name="Followed Hyperlink" xfId="7884" hidden="1" builtinId="9"/>
    <cellStyle name="Followed Hyperlink" xfId="7885" hidden="1" builtinId="9"/>
    <cellStyle name="Followed Hyperlink" xfId="7886" hidden="1" builtinId="9"/>
    <cellStyle name="Followed Hyperlink" xfId="7887" hidden="1" builtinId="9"/>
    <cellStyle name="Followed Hyperlink" xfId="7888" hidden="1" builtinId="9"/>
    <cellStyle name="Followed Hyperlink" xfId="7889" hidden="1" builtinId="9"/>
    <cellStyle name="Followed Hyperlink" xfId="7890" hidden="1" builtinId="9"/>
    <cellStyle name="Followed Hyperlink" xfId="7891" hidden="1" builtinId="9"/>
    <cellStyle name="Followed Hyperlink" xfId="7892" hidden="1" builtinId="9"/>
    <cellStyle name="Followed Hyperlink" xfId="7893" hidden="1" builtinId="9"/>
    <cellStyle name="Followed Hyperlink" xfId="7894" hidden="1" builtinId="9"/>
    <cellStyle name="Followed Hyperlink" xfId="7895" hidden="1" builtinId="9"/>
    <cellStyle name="Followed Hyperlink" xfId="7896" hidden="1" builtinId="9"/>
    <cellStyle name="Followed Hyperlink" xfId="7897" hidden="1" builtinId="9"/>
    <cellStyle name="Followed Hyperlink" xfId="7898" hidden="1" builtinId="9"/>
    <cellStyle name="Followed Hyperlink" xfId="7899" hidden="1" builtinId="9"/>
    <cellStyle name="Followed Hyperlink" xfId="7900" hidden="1" builtinId="9"/>
    <cellStyle name="Followed Hyperlink" xfId="7901" hidden="1" builtinId="9"/>
    <cellStyle name="Followed Hyperlink" xfId="7902" hidden="1" builtinId="9"/>
    <cellStyle name="Followed Hyperlink" xfId="7903" hidden="1" builtinId="9"/>
    <cellStyle name="Followed Hyperlink" xfId="7904" hidden="1" builtinId="9"/>
    <cellStyle name="Followed Hyperlink" xfId="7905" hidden="1" builtinId="9"/>
    <cellStyle name="Followed Hyperlink" xfId="7906" hidden="1" builtinId="9"/>
    <cellStyle name="Followed Hyperlink" xfId="7907" hidden="1" builtinId="9"/>
    <cellStyle name="Followed Hyperlink" xfId="7908" hidden="1" builtinId="9"/>
    <cellStyle name="Followed Hyperlink" xfId="7909" hidden="1" builtinId="9"/>
    <cellStyle name="Followed Hyperlink" xfId="7910" hidden="1" builtinId="9"/>
    <cellStyle name="Followed Hyperlink" xfId="7911" hidden="1" builtinId="9"/>
    <cellStyle name="Followed Hyperlink" xfId="7912" hidden="1" builtinId="9"/>
    <cellStyle name="Followed Hyperlink" xfId="7913" hidden="1" builtinId="9"/>
    <cellStyle name="Followed Hyperlink" xfId="7914" hidden="1" builtinId="9"/>
    <cellStyle name="Followed Hyperlink" xfId="7915" hidden="1" builtinId="9"/>
    <cellStyle name="Followed Hyperlink" xfId="7916" hidden="1" builtinId="9"/>
    <cellStyle name="Followed Hyperlink" xfId="7917" hidden="1" builtinId="9"/>
    <cellStyle name="Followed Hyperlink" xfId="7918" hidden="1" builtinId="9"/>
    <cellStyle name="Followed Hyperlink" xfId="7919" hidden="1" builtinId="9"/>
    <cellStyle name="Followed Hyperlink" xfId="7920" hidden="1" builtinId="9"/>
    <cellStyle name="Followed Hyperlink" xfId="7921" hidden="1" builtinId="9"/>
    <cellStyle name="Followed Hyperlink" xfId="7922" hidden="1" builtinId="9"/>
    <cellStyle name="Followed Hyperlink" xfId="7923" hidden="1" builtinId="9"/>
    <cellStyle name="Followed Hyperlink" xfId="7924" hidden="1" builtinId="9"/>
    <cellStyle name="Followed Hyperlink" xfId="7925" hidden="1" builtinId="9"/>
    <cellStyle name="Followed Hyperlink" xfId="7926" hidden="1" builtinId="9"/>
    <cellStyle name="Followed Hyperlink" xfId="7927" hidden="1" builtinId="9"/>
    <cellStyle name="Followed Hyperlink" xfId="7928" hidden="1" builtinId="9"/>
    <cellStyle name="Followed Hyperlink" xfId="7929" hidden="1" builtinId="9"/>
    <cellStyle name="Followed Hyperlink" xfId="7930" hidden="1" builtinId="9"/>
    <cellStyle name="Followed Hyperlink" xfId="7931" hidden="1" builtinId="9"/>
    <cellStyle name="Followed Hyperlink" xfId="7932" hidden="1" builtinId="9"/>
    <cellStyle name="Followed Hyperlink" xfId="7933" hidden="1" builtinId="9"/>
    <cellStyle name="Followed Hyperlink" xfId="7934" hidden="1" builtinId="9"/>
    <cellStyle name="Followed Hyperlink" xfId="7935" hidden="1" builtinId="9"/>
    <cellStyle name="Followed Hyperlink" xfId="7936" hidden="1" builtinId="9"/>
    <cellStyle name="Followed Hyperlink" xfId="7937" hidden="1" builtinId="9"/>
    <cellStyle name="Followed Hyperlink" xfId="7938" hidden="1" builtinId="9"/>
    <cellStyle name="Followed Hyperlink" xfId="7939" hidden="1" builtinId="9"/>
    <cellStyle name="Followed Hyperlink" xfId="7940" hidden="1" builtinId="9"/>
    <cellStyle name="Followed Hyperlink" xfId="7941" hidden="1" builtinId="9"/>
    <cellStyle name="Followed Hyperlink" xfId="7942" hidden="1" builtinId="9"/>
    <cellStyle name="Followed Hyperlink" xfId="7943" hidden="1" builtinId="9"/>
    <cellStyle name="Followed Hyperlink" xfId="7944" hidden="1" builtinId="9"/>
    <cellStyle name="Followed Hyperlink" xfId="7945" hidden="1" builtinId="9"/>
    <cellStyle name="Followed Hyperlink" xfId="7946" hidden="1" builtinId="9"/>
    <cellStyle name="Followed Hyperlink" xfId="7947" hidden="1" builtinId="9"/>
    <cellStyle name="Followed Hyperlink" xfId="7948" hidden="1" builtinId="9"/>
    <cellStyle name="Followed Hyperlink" xfId="7949" hidden="1" builtinId="9"/>
    <cellStyle name="Followed Hyperlink" xfId="7950" hidden="1" builtinId="9"/>
    <cellStyle name="Followed Hyperlink" xfId="7951" hidden="1" builtinId="9"/>
    <cellStyle name="Followed Hyperlink" xfId="7952" hidden="1" builtinId="9"/>
    <cellStyle name="Followed Hyperlink" xfId="7953" hidden="1" builtinId="9"/>
    <cellStyle name="Followed Hyperlink" xfId="7954" hidden="1" builtinId="9"/>
    <cellStyle name="Followed Hyperlink" xfId="7955" hidden="1" builtinId="9"/>
    <cellStyle name="Followed Hyperlink" xfId="7956" hidden="1" builtinId="9"/>
    <cellStyle name="Followed Hyperlink" xfId="7957" hidden="1" builtinId="9"/>
    <cellStyle name="Followed Hyperlink" xfId="7958" hidden="1" builtinId="9"/>
    <cellStyle name="Followed Hyperlink" xfId="7959" hidden="1" builtinId="9"/>
    <cellStyle name="Followed Hyperlink" xfId="7960" hidden="1" builtinId="9"/>
    <cellStyle name="Followed Hyperlink" xfId="7961" hidden="1" builtinId="9"/>
    <cellStyle name="Followed Hyperlink" xfId="7962" hidden="1" builtinId="9"/>
    <cellStyle name="Followed Hyperlink" xfId="7963" hidden="1" builtinId="9"/>
    <cellStyle name="Followed Hyperlink" xfId="7964" hidden="1" builtinId="9"/>
    <cellStyle name="Followed Hyperlink" xfId="7965" hidden="1" builtinId="9"/>
    <cellStyle name="Followed Hyperlink" xfId="7966" hidden="1" builtinId="9"/>
    <cellStyle name="Followed Hyperlink" xfId="7967" hidden="1" builtinId="9"/>
    <cellStyle name="Followed Hyperlink" xfId="7968" hidden="1" builtinId="9"/>
    <cellStyle name="Followed Hyperlink" xfId="7969" hidden="1" builtinId="9"/>
    <cellStyle name="Followed Hyperlink" xfId="7970" hidden="1" builtinId="9"/>
    <cellStyle name="Followed Hyperlink" xfId="7971" hidden="1" builtinId="9"/>
    <cellStyle name="Followed Hyperlink" xfId="7972" hidden="1" builtinId="9"/>
    <cellStyle name="Followed Hyperlink" xfId="7973" hidden="1" builtinId="9"/>
    <cellStyle name="Followed Hyperlink" xfId="7974" hidden="1" builtinId="9"/>
    <cellStyle name="Followed Hyperlink" xfId="7975" hidden="1" builtinId="9"/>
    <cellStyle name="Followed Hyperlink" xfId="7976" hidden="1" builtinId="9"/>
    <cellStyle name="Followed Hyperlink" xfId="7977" hidden="1" builtinId="9"/>
    <cellStyle name="Followed Hyperlink" xfId="7978" hidden="1" builtinId="9"/>
    <cellStyle name="Followed Hyperlink" xfId="7979" hidden="1" builtinId="9"/>
    <cellStyle name="Followed Hyperlink" xfId="7980" hidden="1" builtinId="9"/>
    <cellStyle name="Followed Hyperlink" xfId="7981" hidden="1" builtinId="9"/>
    <cellStyle name="Followed Hyperlink" xfId="7982" hidden="1" builtinId="9"/>
    <cellStyle name="Followed Hyperlink" xfId="7983" hidden="1" builtinId="9"/>
    <cellStyle name="Followed Hyperlink" xfId="7984" hidden="1" builtinId="9"/>
    <cellStyle name="Followed Hyperlink" xfId="7985" hidden="1" builtinId="9"/>
    <cellStyle name="Followed Hyperlink" xfId="7986" hidden="1" builtinId="9"/>
    <cellStyle name="Followed Hyperlink" xfId="7987" hidden="1" builtinId="9"/>
    <cellStyle name="Followed Hyperlink" xfId="7988" hidden="1" builtinId="9"/>
    <cellStyle name="Followed Hyperlink" xfId="7989" hidden="1" builtinId="9"/>
    <cellStyle name="Followed Hyperlink" xfId="7990" hidden="1" builtinId="9"/>
    <cellStyle name="Followed Hyperlink" xfId="7991" hidden="1" builtinId="9"/>
    <cellStyle name="Followed Hyperlink" xfId="7992" hidden="1" builtinId="9"/>
    <cellStyle name="Followed Hyperlink" xfId="7993" hidden="1" builtinId="9"/>
    <cellStyle name="Followed Hyperlink" xfId="7994" hidden="1" builtinId="9"/>
    <cellStyle name="Followed Hyperlink" xfId="7995" hidden="1" builtinId="9"/>
    <cellStyle name="Followed Hyperlink" xfId="7996" hidden="1" builtinId="9"/>
    <cellStyle name="Followed Hyperlink" xfId="7997" hidden="1" builtinId="9"/>
    <cellStyle name="Followed Hyperlink" xfId="7998" hidden="1" builtinId="9"/>
    <cellStyle name="Followed Hyperlink" xfId="7999" hidden="1" builtinId="9"/>
    <cellStyle name="Followed Hyperlink" xfId="8000" hidden="1" builtinId="9"/>
    <cellStyle name="Followed Hyperlink" xfId="8001" hidden="1" builtinId="9"/>
    <cellStyle name="Followed Hyperlink" xfId="8002" hidden="1" builtinId="9"/>
    <cellStyle name="Followed Hyperlink" xfId="8003" hidden="1" builtinId="9"/>
    <cellStyle name="Followed Hyperlink" xfId="8004" hidden="1" builtinId="9"/>
    <cellStyle name="Followed Hyperlink" xfId="8005" hidden="1" builtinId="9"/>
    <cellStyle name="Followed Hyperlink" xfId="8006" hidden="1" builtinId="9"/>
    <cellStyle name="Followed Hyperlink" xfId="8007" hidden="1" builtinId="9"/>
    <cellStyle name="Followed Hyperlink" xfId="8008" hidden="1" builtinId="9"/>
    <cellStyle name="Followed Hyperlink" xfId="8009" hidden="1" builtinId="9"/>
    <cellStyle name="Followed Hyperlink" xfId="8010" hidden="1" builtinId="9"/>
    <cellStyle name="Followed Hyperlink" xfId="8011" hidden="1" builtinId="9"/>
    <cellStyle name="Followed Hyperlink" xfId="8012" hidden="1" builtinId="9"/>
    <cellStyle name="Followed Hyperlink" xfId="8013" hidden="1" builtinId="9"/>
    <cellStyle name="Followed Hyperlink" xfId="8014" hidden="1" builtinId="9"/>
    <cellStyle name="Followed Hyperlink" xfId="8015" hidden="1" builtinId="9"/>
    <cellStyle name="Followed Hyperlink" xfId="8016" hidden="1" builtinId="9"/>
    <cellStyle name="Followed Hyperlink" xfId="8017" hidden="1" builtinId="9"/>
    <cellStyle name="Followed Hyperlink" xfId="8018" hidden="1" builtinId="9"/>
    <cellStyle name="Followed Hyperlink" xfId="8019" hidden="1" builtinId="9"/>
    <cellStyle name="Followed Hyperlink" xfId="8020" hidden="1" builtinId="9"/>
    <cellStyle name="Followed Hyperlink" xfId="8021" hidden="1" builtinId="9"/>
    <cellStyle name="Followed Hyperlink" xfId="8022" hidden="1" builtinId="9"/>
    <cellStyle name="Followed Hyperlink" xfId="8023" hidden="1" builtinId="9"/>
    <cellStyle name="Followed Hyperlink" xfId="8024" hidden="1" builtinId="9"/>
    <cellStyle name="Followed Hyperlink" xfId="8025" hidden="1" builtinId="9"/>
    <cellStyle name="Followed Hyperlink" xfId="8026" hidden="1" builtinId="9"/>
    <cellStyle name="Followed Hyperlink" xfId="8027" hidden="1" builtinId="9"/>
    <cellStyle name="Followed Hyperlink" xfId="8028" hidden="1" builtinId="9"/>
    <cellStyle name="Followed Hyperlink" xfId="8029" hidden="1" builtinId="9"/>
    <cellStyle name="Followed Hyperlink" xfId="8030" hidden="1" builtinId="9"/>
    <cellStyle name="Followed Hyperlink" xfId="8031" hidden="1" builtinId="9"/>
    <cellStyle name="Followed Hyperlink" xfId="8032" hidden="1" builtinId="9"/>
    <cellStyle name="Followed Hyperlink" xfId="8033" hidden="1" builtinId="9"/>
    <cellStyle name="Followed Hyperlink" xfId="8034" hidden="1" builtinId="9"/>
    <cellStyle name="Followed Hyperlink" xfId="8035" hidden="1" builtinId="9"/>
    <cellStyle name="Followed Hyperlink" xfId="8036" hidden="1" builtinId="9"/>
    <cellStyle name="Followed Hyperlink" xfId="8037" hidden="1" builtinId="9"/>
    <cellStyle name="Followed Hyperlink" xfId="8038" hidden="1" builtinId="9"/>
    <cellStyle name="Followed Hyperlink" xfId="8039" hidden="1" builtinId="9"/>
    <cellStyle name="Followed Hyperlink" xfId="8040" hidden="1" builtinId="9"/>
    <cellStyle name="Followed Hyperlink" xfId="8041" hidden="1" builtinId="9"/>
    <cellStyle name="Followed Hyperlink" xfId="8042" hidden="1" builtinId="9"/>
    <cellStyle name="Followed Hyperlink" xfId="8043" hidden="1" builtinId="9"/>
    <cellStyle name="Followed Hyperlink" xfId="8044" hidden="1" builtinId="9"/>
    <cellStyle name="Followed Hyperlink" xfId="8045" hidden="1" builtinId="9"/>
    <cellStyle name="Followed Hyperlink" xfId="8046" hidden="1" builtinId="9"/>
    <cellStyle name="Followed Hyperlink" xfId="8047" hidden="1" builtinId="9"/>
    <cellStyle name="Followed Hyperlink" xfId="8048" hidden="1" builtinId="9"/>
    <cellStyle name="Followed Hyperlink" xfId="8049" hidden="1" builtinId="9"/>
    <cellStyle name="Followed Hyperlink" xfId="8050" hidden="1" builtinId="9"/>
    <cellStyle name="Followed Hyperlink" xfId="8051" hidden="1" builtinId="9"/>
    <cellStyle name="Followed Hyperlink" xfId="8052" hidden="1" builtinId="9"/>
    <cellStyle name="Followed Hyperlink" xfId="8053" hidden="1" builtinId="9"/>
    <cellStyle name="Followed Hyperlink" xfId="8054" hidden="1" builtinId="9"/>
    <cellStyle name="Followed Hyperlink" xfId="8055" hidden="1" builtinId="9"/>
    <cellStyle name="Followed Hyperlink" xfId="8056" hidden="1" builtinId="9"/>
    <cellStyle name="Followed Hyperlink" xfId="8057" hidden="1" builtinId="9"/>
    <cellStyle name="Followed Hyperlink" xfId="8058" hidden="1" builtinId="9"/>
    <cellStyle name="Followed Hyperlink" xfId="8059" hidden="1" builtinId="9"/>
    <cellStyle name="Followed Hyperlink" xfId="8060" hidden="1" builtinId="9"/>
    <cellStyle name="Followed Hyperlink" xfId="8061" hidden="1" builtinId="9"/>
    <cellStyle name="Followed Hyperlink" xfId="8062" hidden="1" builtinId="9"/>
    <cellStyle name="Followed Hyperlink" xfId="8063" hidden="1" builtinId="9"/>
    <cellStyle name="Followed Hyperlink" xfId="8064" hidden="1" builtinId="9"/>
    <cellStyle name="Followed Hyperlink" xfId="8065" hidden="1" builtinId="9"/>
    <cellStyle name="Followed Hyperlink" xfId="8066" hidden="1" builtinId="9"/>
    <cellStyle name="Followed Hyperlink" xfId="8067" hidden="1" builtinId="9"/>
    <cellStyle name="Followed Hyperlink" xfId="8068" hidden="1" builtinId="9"/>
    <cellStyle name="Followed Hyperlink" xfId="8069" hidden="1" builtinId="9"/>
    <cellStyle name="Followed Hyperlink" xfId="8070" hidden="1" builtinId="9"/>
    <cellStyle name="Followed Hyperlink" xfId="8071" hidden="1" builtinId="9"/>
    <cellStyle name="Followed Hyperlink" xfId="8072" hidden="1" builtinId="9"/>
    <cellStyle name="Followed Hyperlink" xfId="8073" hidden="1" builtinId="9"/>
    <cellStyle name="Followed Hyperlink" xfId="8074" hidden="1" builtinId="9"/>
    <cellStyle name="Followed Hyperlink" xfId="8075" hidden="1" builtinId="9"/>
    <cellStyle name="Followed Hyperlink" xfId="8076" hidden="1" builtinId="9"/>
    <cellStyle name="Followed Hyperlink" xfId="8077" hidden="1" builtinId="9"/>
    <cellStyle name="Followed Hyperlink" xfId="8078" hidden="1" builtinId="9"/>
    <cellStyle name="Followed Hyperlink" xfId="8079" hidden="1" builtinId="9"/>
    <cellStyle name="Followed Hyperlink" xfId="8080" hidden="1" builtinId="9"/>
    <cellStyle name="Followed Hyperlink" xfId="8081" hidden="1" builtinId="9"/>
    <cellStyle name="Followed Hyperlink" xfId="8082" hidden="1" builtinId="9"/>
    <cellStyle name="Followed Hyperlink" xfId="8083" hidden="1" builtinId="9"/>
    <cellStyle name="Followed Hyperlink" xfId="8084" hidden="1" builtinId="9"/>
    <cellStyle name="Followed Hyperlink" xfId="8085" hidden="1" builtinId="9"/>
    <cellStyle name="Followed Hyperlink" xfId="8086" hidden="1" builtinId="9"/>
    <cellStyle name="Followed Hyperlink" xfId="8087" hidden="1" builtinId="9"/>
    <cellStyle name="Followed Hyperlink" xfId="8088" hidden="1" builtinId="9"/>
    <cellStyle name="Followed Hyperlink" xfId="8089" hidden="1" builtinId="9"/>
    <cellStyle name="Followed Hyperlink" xfId="8090" hidden="1" builtinId="9"/>
    <cellStyle name="Followed Hyperlink" xfId="8091" hidden="1" builtinId="9"/>
    <cellStyle name="Followed Hyperlink" xfId="8092" hidden="1" builtinId="9"/>
    <cellStyle name="Followed Hyperlink" xfId="8093" hidden="1" builtinId="9"/>
    <cellStyle name="Followed Hyperlink" xfId="8094" hidden="1" builtinId="9"/>
    <cellStyle name="Followed Hyperlink" xfId="8095" hidden="1" builtinId="9"/>
    <cellStyle name="Followed Hyperlink" xfId="8096" hidden="1" builtinId="9"/>
    <cellStyle name="Followed Hyperlink" xfId="8097" hidden="1" builtinId="9"/>
    <cellStyle name="Followed Hyperlink" xfId="8098" hidden="1" builtinId="9"/>
    <cellStyle name="Followed Hyperlink" xfId="8099" hidden="1" builtinId="9"/>
    <cellStyle name="Followed Hyperlink" xfId="8100" hidden="1" builtinId="9"/>
    <cellStyle name="Followed Hyperlink" xfId="8101" hidden="1" builtinId="9"/>
    <cellStyle name="Followed Hyperlink" xfId="8102" hidden="1" builtinId="9"/>
    <cellStyle name="Followed Hyperlink" xfId="8103" hidden="1" builtinId="9"/>
    <cellStyle name="Followed Hyperlink" xfId="8104" hidden="1" builtinId="9"/>
    <cellStyle name="Followed Hyperlink" xfId="8105" hidden="1" builtinId="9"/>
    <cellStyle name="Followed Hyperlink" xfId="8106" hidden="1" builtinId="9"/>
    <cellStyle name="Followed Hyperlink" xfId="8107" hidden="1" builtinId="9"/>
    <cellStyle name="Followed Hyperlink" xfId="8108" hidden="1" builtinId="9"/>
    <cellStyle name="Followed Hyperlink" xfId="8109" hidden="1" builtinId="9"/>
    <cellStyle name="Followed Hyperlink" xfId="8110" hidden="1" builtinId="9"/>
    <cellStyle name="Followed Hyperlink" xfId="8111" hidden="1" builtinId="9"/>
    <cellStyle name="Followed Hyperlink" xfId="8112" hidden="1" builtinId="9"/>
    <cellStyle name="Followed Hyperlink" xfId="8113" hidden="1" builtinId="9"/>
    <cellStyle name="Followed Hyperlink" xfId="8114" hidden="1" builtinId="9"/>
    <cellStyle name="Followed Hyperlink" xfId="8115" hidden="1" builtinId="9"/>
    <cellStyle name="Followed Hyperlink" xfId="8116" hidden="1" builtinId="9"/>
    <cellStyle name="Followed Hyperlink" xfId="8117" hidden="1" builtinId="9"/>
    <cellStyle name="Followed Hyperlink" xfId="8118" hidden="1" builtinId="9"/>
    <cellStyle name="Followed Hyperlink" xfId="8119" hidden="1" builtinId="9"/>
    <cellStyle name="Followed Hyperlink" xfId="8120" hidden="1" builtinId="9"/>
    <cellStyle name="Followed Hyperlink" xfId="8121" hidden="1" builtinId="9"/>
    <cellStyle name="Followed Hyperlink" xfId="8122" hidden="1" builtinId="9"/>
    <cellStyle name="Followed Hyperlink" xfId="8123" hidden="1" builtinId="9"/>
    <cellStyle name="Followed Hyperlink" xfId="8124" hidden="1" builtinId="9"/>
    <cellStyle name="Followed Hyperlink" xfId="8125" hidden="1" builtinId="9"/>
    <cellStyle name="Followed Hyperlink" xfId="8126" hidden="1" builtinId="9"/>
    <cellStyle name="Followed Hyperlink" xfId="8127" hidden="1" builtinId="9"/>
    <cellStyle name="Followed Hyperlink" xfId="8128" hidden="1" builtinId="9"/>
    <cellStyle name="Followed Hyperlink" xfId="8129" hidden="1" builtinId="9"/>
    <cellStyle name="Followed Hyperlink" xfId="8130" hidden="1" builtinId="9"/>
    <cellStyle name="Followed Hyperlink" xfId="8131" hidden="1" builtinId="9"/>
    <cellStyle name="Followed Hyperlink" xfId="8132" hidden="1" builtinId="9"/>
    <cellStyle name="Followed Hyperlink" xfId="8133" hidden="1" builtinId="9"/>
    <cellStyle name="Followed Hyperlink" xfId="8134" hidden="1" builtinId="9"/>
    <cellStyle name="Followed Hyperlink" xfId="8135" hidden="1" builtinId="9"/>
    <cellStyle name="Followed Hyperlink" xfId="8136" hidden="1" builtinId="9"/>
    <cellStyle name="Followed Hyperlink" xfId="8137" hidden="1" builtinId="9"/>
    <cellStyle name="Followed Hyperlink" xfId="8138" hidden="1" builtinId="9"/>
    <cellStyle name="Followed Hyperlink" xfId="8139" hidden="1" builtinId="9"/>
    <cellStyle name="Followed Hyperlink" xfId="8140" hidden="1" builtinId="9"/>
    <cellStyle name="Followed Hyperlink" xfId="8141" hidden="1" builtinId="9"/>
    <cellStyle name="Followed Hyperlink" xfId="8142" hidden="1" builtinId="9"/>
    <cellStyle name="Followed Hyperlink" xfId="8143" hidden="1" builtinId="9"/>
    <cellStyle name="Followed Hyperlink" xfId="8144" hidden="1" builtinId="9"/>
    <cellStyle name="Followed Hyperlink" xfId="8145" hidden="1" builtinId="9"/>
    <cellStyle name="Followed Hyperlink" xfId="8146" hidden="1" builtinId="9"/>
    <cellStyle name="Followed Hyperlink" xfId="8147" hidden="1" builtinId="9"/>
    <cellStyle name="Followed Hyperlink" xfId="8148" hidden="1" builtinId="9"/>
    <cellStyle name="Followed Hyperlink" xfId="8149" hidden="1" builtinId="9"/>
    <cellStyle name="Followed Hyperlink" xfId="8150" hidden="1" builtinId="9"/>
    <cellStyle name="Followed Hyperlink" xfId="8151" hidden="1" builtinId="9"/>
    <cellStyle name="Followed Hyperlink" xfId="8152" hidden="1" builtinId="9"/>
    <cellStyle name="Followed Hyperlink" xfId="8153" hidden="1" builtinId="9"/>
    <cellStyle name="Followed Hyperlink" xfId="8154" hidden="1" builtinId="9"/>
    <cellStyle name="Followed Hyperlink" xfId="8155" hidden="1" builtinId="9"/>
    <cellStyle name="Followed Hyperlink" xfId="8156" hidden="1" builtinId="9"/>
    <cellStyle name="Followed Hyperlink" xfId="8157" hidden="1" builtinId="9"/>
    <cellStyle name="Followed Hyperlink" xfId="8158" hidden="1" builtinId="9"/>
    <cellStyle name="Followed Hyperlink" xfId="8159" hidden="1" builtinId="9"/>
    <cellStyle name="Followed Hyperlink" xfId="8160" hidden="1" builtinId="9"/>
    <cellStyle name="Followed Hyperlink" xfId="8161" hidden="1" builtinId="9"/>
    <cellStyle name="Followed Hyperlink" xfId="8162" hidden="1" builtinId="9"/>
    <cellStyle name="Followed Hyperlink" xfId="8163" hidden="1" builtinId="9"/>
    <cellStyle name="Followed Hyperlink" xfId="8164" hidden="1" builtinId="9"/>
    <cellStyle name="Followed Hyperlink" xfId="8165" hidden="1" builtinId="9"/>
    <cellStyle name="Followed Hyperlink" xfId="8166" hidden="1" builtinId="9"/>
    <cellStyle name="Followed Hyperlink" xfId="8167" hidden="1" builtinId="9"/>
    <cellStyle name="Followed Hyperlink" xfId="8168" hidden="1" builtinId="9"/>
    <cellStyle name="Followed Hyperlink" xfId="8169" hidden="1" builtinId="9"/>
    <cellStyle name="Followed Hyperlink" xfId="8170" hidden="1" builtinId="9"/>
    <cellStyle name="Followed Hyperlink" xfId="8171" hidden="1" builtinId="9"/>
    <cellStyle name="Followed Hyperlink" xfId="8172" hidden="1" builtinId="9"/>
    <cellStyle name="Followed Hyperlink" xfId="8173" hidden="1" builtinId="9"/>
    <cellStyle name="Followed Hyperlink" xfId="8174" hidden="1" builtinId="9"/>
    <cellStyle name="Followed Hyperlink" xfId="8175" hidden="1" builtinId="9"/>
    <cellStyle name="Followed Hyperlink" xfId="8176" hidden="1" builtinId="9"/>
    <cellStyle name="Followed Hyperlink" xfId="8177" hidden="1" builtinId="9"/>
    <cellStyle name="Followed Hyperlink" xfId="8178" hidden="1" builtinId="9"/>
    <cellStyle name="Followed Hyperlink" xfId="8179" hidden="1" builtinId="9"/>
    <cellStyle name="Followed Hyperlink" xfId="8180" hidden="1" builtinId="9"/>
    <cellStyle name="Followed Hyperlink" xfId="8181" hidden="1" builtinId="9"/>
    <cellStyle name="Followed Hyperlink" xfId="8182" hidden="1" builtinId="9"/>
    <cellStyle name="Followed Hyperlink" xfId="8183" hidden="1" builtinId="9"/>
    <cellStyle name="Followed Hyperlink" xfId="8184" hidden="1" builtinId="9"/>
    <cellStyle name="Followed Hyperlink" xfId="8185" hidden="1" builtinId="9"/>
    <cellStyle name="Followed Hyperlink" xfId="8186" hidden="1" builtinId="9"/>
    <cellStyle name="Followed Hyperlink" xfId="8187" hidden="1" builtinId="9"/>
    <cellStyle name="Followed Hyperlink" xfId="8188" hidden="1" builtinId="9"/>
    <cellStyle name="Followed Hyperlink" xfId="8189" hidden="1" builtinId="9"/>
    <cellStyle name="Followed Hyperlink" xfId="8190" hidden="1" builtinId="9"/>
    <cellStyle name="Followed Hyperlink" xfId="8191" hidden="1" builtinId="9"/>
    <cellStyle name="Followed Hyperlink" xfId="8192" hidden="1" builtinId="9"/>
    <cellStyle name="Followed Hyperlink" xfId="8193" hidden="1" builtinId="9"/>
    <cellStyle name="Followed Hyperlink" xfId="8194" hidden="1" builtinId="9"/>
    <cellStyle name="Followed Hyperlink" xfId="8195" hidden="1" builtinId="9"/>
    <cellStyle name="Followed Hyperlink" xfId="8196" hidden="1" builtinId="9"/>
    <cellStyle name="Followed Hyperlink" xfId="8197" hidden="1" builtinId="9"/>
    <cellStyle name="Followed Hyperlink" xfId="8198" hidden="1" builtinId="9"/>
    <cellStyle name="Followed Hyperlink" xfId="8199" hidden="1" builtinId="9"/>
    <cellStyle name="Followed Hyperlink" xfId="8200" hidden="1" builtinId="9"/>
    <cellStyle name="Followed Hyperlink" xfId="8201" hidden="1" builtinId="9"/>
    <cellStyle name="Followed Hyperlink" xfId="8202" hidden="1" builtinId="9"/>
    <cellStyle name="Followed Hyperlink" xfId="8203" hidden="1" builtinId="9"/>
    <cellStyle name="Followed Hyperlink" xfId="8204" hidden="1" builtinId="9"/>
    <cellStyle name="Followed Hyperlink" xfId="8205" hidden="1" builtinId="9"/>
    <cellStyle name="Followed Hyperlink" xfId="8206" hidden="1" builtinId="9"/>
    <cellStyle name="Followed Hyperlink" xfId="8207" hidden="1" builtinId="9"/>
    <cellStyle name="Followed Hyperlink" xfId="8208" hidden="1" builtinId="9"/>
    <cellStyle name="Followed Hyperlink" xfId="8209" hidden="1" builtinId="9"/>
    <cellStyle name="Followed Hyperlink" xfId="8210" hidden="1" builtinId="9"/>
    <cellStyle name="Followed Hyperlink" xfId="8211" hidden="1" builtinId="9"/>
    <cellStyle name="Followed Hyperlink" xfId="8212" hidden="1" builtinId="9"/>
    <cellStyle name="Followed Hyperlink" xfId="8213" hidden="1" builtinId="9"/>
    <cellStyle name="Followed Hyperlink" xfId="8214" hidden="1" builtinId="9"/>
    <cellStyle name="Followed Hyperlink" xfId="8215" hidden="1" builtinId="9"/>
    <cellStyle name="Followed Hyperlink" xfId="8216" hidden="1" builtinId="9"/>
    <cellStyle name="Followed Hyperlink" xfId="8217" hidden="1" builtinId="9"/>
    <cellStyle name="Followed Hyperlink" xfId="8218" hidden="1" builtinId="9"/>
    <cellStyle name="Followed Hyperlink" xfId="8219" hidden="1" builtinId="9"/>
    <cellStyle name="Followed Hyperlink" xfId="8220" hidden="1" builtinId="9"/>
    <cellStyle name="Followed Hyperlink" xfId="8221" hidden="1" builtinId="9"/>
    <cellStyle name="Followed Hyperlink" xfId="8222" hidden="1" builtinId="9"/>
    <cellStyle name="Followed Hyperlink" xfId="8223" hidden="1" builtinId="9"/>
    <cellStyle name="Followed Hyperlink" xfId="8224" hidden="1" builtinId="9"/>
    <cellStyle name="Followed Hyperlink" xfId="8225" hidden="1" builtinId="9"/>
    <cellStyle name="Followed Hyperlink" xfId="8226" hidden="1" builtinId="9"/>
    <cellStyle name="Followed Hyperlink" xfId="8227" hidden="1" builtinId="9"/>
    <cellStyle name="Followed Hyperlink" xfId="8228" hidden="1" builtinId="9"/>
    <cellStyle name="Followed Hyperlink" xfId="8229" hidden="1" builtinId="9"/>
    <cellStyle name="Followed Hyperlink" xfId="8230" hidden="1" builtinId="9"/>
    <cellStyle name="Followed Hyperlink" xfId="8231" hidden="1" builtinId="9"/>
    <cellStyle name="Followed Hyperlink" xfId="8232" hidden="1" builtinId="9"/>
    <cellStyle name="Followed Hyperlink" xfId="8233" hidden="1" builtinId="9"/>
    <cellStyle name="Followed Hyperlink" xfId="8234" hidden="1" builtinId="9"/>
    <cellStyle name="Followed Hyperlink" xfId="8235" hidden="1" builtinId="9"/>
    <cellStyle name="Followed Hyperlink" xfId="8236" hidden="1" builtinId="9"/>
    <cellStyle name="Followed Hyperlink" xfId="8237" hidden="1" builtinId="9"/>
    <cellStyle name="Followed Hyperlink" xfId="8238" hidden="1" builtinId="9"/>
    <cellStyle name="Followed Hyperlink" xfId="8239" hidden="1" builtinId="9"/>
    <cellStyle name="Followed Hyperlink" xfId="8240" hidden="1" builtinId="9"/>
    <cellStyle name="Followed Hyperlink" xfId="8241" hidden="1" builtinId="9"/>
    <cellStyle name="Followed Hyperlink" xfId="8242" hidden="1" builtinId="9"/>
    <cellStyle name="Followed Hyperlink" xfId="8243" hidden="1" builtinId="9"/>
    <cellStyle name="Followed Hyperlink" xfId="8244" hidden="1" builtinId="9"/>
    <cellStyle name="Followed Hyperlink" xfId="8245" hidden="1" builtinId="9"/>
    <cellStyle name="Followed Hyperlink" xfId="8246" hidden="1" builtinId="9"/>
    <cellStyle name="Followed Hyperlink" xfId="8247" hidden="1" builtinId="9"/>
    <cellStyle name="Followed Hyperlink" xfId="8248" hidden="1" builtinId="9"/>
    <cellStyle name="Followed Hyperlink" xfId="8249" hidden="1" builtinId="9"/>
    <cellStyle name="Followed Hyperlink" xfId="8250" hidden="1" builtinId="9"/>
    <cellStyle name="Followed Hyperlink" xfId="8251" hidden="1" builtinId="9"/>
    <cellStyle name="Followed Hyperlink" xfId="8252" hidden="1" builtinId="9"/>
    <cellStyle name="Followed Hyperlink" xfId="8253" hidden="1" builtinId="9"/>
    <cellStyle name="Followed Hyperlink" xfId="8254" hidden="1" builtinId="9"/>
    <cellStyle name="Followed Hyperlink" xfId="8255" hidden="1" builtinId="9"/>
    <cellStyle name="Followed Hyperlink" xfId="8256" hidden="1" builtinId="9"/>
    <cellStyle name="Followed Hyperlink" xfId="8257" hidden="1" builtinId="9"/>
    <cellStyle name="Followed Hyperlink" xfId="8258" hidden="1" builtinId="9"/>
    <cellStyle name="Followed Hyperlink" xfId="8259" hidden="1" builtinId="9"/>
    <cellStyle name="Followed Hyperlink" xfId="8260" hidden="1" builtinId="9"/>
    <cellStyle name="Followed Hyperlink" xfId="8261" hidden="1" builtinId="9"/>
    <cellStyle name="Followed Hyperlink" xfId="8262" hidden="1" builtinId="9"/>
    <cellStyle name="Followed Hyperlink" xfId="8263" hidden="1" builtinId="9"/>
    <cellStyle name="Followed Hyperlink" xfId="8264" hidden="1" builtinId="9"/>
    <cellStyle name="Followed Hyperlink" xfId="8265" hidden="1" builtinId="9"/>
    <cellStyle name="Followed Hyperlink" xfId="8266" hidden="1" builtinId="9"/>
    <cellStyle name="Followed Hyperlink" xfId="8267" hidden="1" builtinId="9"/>
    <cellStyle name="Followed Hyperlink" xfId="8268" hidden="1" builtinId="9"/>
    <cellStyle name="Followed Hyperlink" xfId="8269" hidden="1" builtinId="9"/>
    <cellStyle name="Followed Hyperlink" xfId="8270" hidden="1" builtinId="9"/>
    <cellStyle name="Followed Hyperlink" xfId="8271" hidden="1" builtinId="9"/>
    <cellStyle name="Followed Hyperlink" xfId="8272" hidden="1" builtinId="9"/>
    <cellStyle name="Followed Hyperlink" xfId="8273" hidden="1" builtinId="9"/>
    <cellStyle name="Followed Hyperlink" xfId="8274" hidden="1" builtinId="9"/>
    <cellStyle name="Followed Hyperlink" xfId="8275" hidden="1" builtinId="9"/>
    <cellStyle name="Followed Hyperlink" xfId="8276" hidden="1" builtinId="9"/>
    <cellStyle name="Followed Hyperlink" xfId="8277" hidden="1" builtinId="9"/>
    <cellStyle name="Followed Hyperlink" xfId="8278" hidden="1" builtinId="9"/>
    <cellStyle name="Followed Hyperlink" xfId="8279" hidden="1" builtinId="9"/>
    <cellStyle name="Followed Hyperlink" xfId="8280" hidden="1" builtinId="9"/>
    <cellStyle name="Followed Hyperlink" xfId="8281" hidden="1" builtinId="9"/>
    <cellStyle name="Followed Hyperlink" xfId="8282" hidden="1" builtinId="9"/>
    <cellStyle name="Followed Hyperlink" xfId="8283" hidden="1" builtinId="9"/>
    <cellStyle name="Followed Hyperlink" xfId="8284" hidden="1" builtinId="9"/>
    <cellStyle name="Followed Hyperlink" xfId="8285" hidden="1" builtinId="9"/>
    <cellStyle name="Followed Hyperlink" xfId="8286" hidden="1" builtinId="9"/>
    <cellStyle name="Followed Hyperlink" xfId="8287" hidden="1" builtinId="9"/>
    <cellStyle name="Followed Hyperlink" xfId="8288" hidden="1" builtinId="9"/>
    <cellStyle name="Followed Hyperlink" xfId="8289" hidden="1" builtinId="9"/>
    <cellStyle name="Followed Hyperlink" xfId="8290" hidden="1" builtinId="9"/>
    <cellStyle name="Followed Hyperlink" xfId="8291" hidden="1" builtinId="9"/>
    <cellStyle name="Followed Hyperlink" xfId="8292" hidden="1" builtinId="9"/>
    <cellStyle name="Followed Hyperlink" xfId="8293" hidden="1" builtinId="9"/>
    <cellStyle name="Followed Hyperlink" xfId="8294" hidden="1" builtinId="9"/>
    <cellStyle name="Followed Hyperlink" xfId="8295" hidden="1" builtinId="9"/>
    <cellStyle name="Followed Hyperlink" xfId="8296" hidden="1" builtinId="9"/>
    <cellStyle name="Followed Hyperlink" xfId="8297" hidden="1" builtinId="9"/>
    <cellStyle name="Followed Hyperlink" xfId="8298" hidden="1" builtinId="9"/>
    <cellStyle name="Followed Hyperlink" xfId="8299" hidden="1" builtinId="9"/>
    <cellStyle name="Followed Hyperlink" xfId="8300" hidden="1" builtinId="9"/>
    <cellStyle name="Followed Hyperlink" xfId="8301" hidden="1" builtinId="9"/>
    <cellStyle name="Followed Hyperlink" xfId="8302" hidden="1" builtinId="9"/>
    <cellStyle name="Followed Hyperlink" xfId="8303" hidden="1" builtinId="9"/>
    <cellStyle name="Followed Hyperlink" xfId="8304" hidden="1" builtinId="9"/>
    <cellStyle name="Followed Hyperlink" xfId="8305" hidden="1" builtinId="9"/>
    <cellStyle name="Followed Hyperlink" xfId="8306" hidden="1" builtinId="9"/>
    <cellStyle name="Followed Hyperlink" xfId="8307" hidden="1" builtinId="9"/>
    <cellStyle name="Followed Hyperlink" xfId="8308" hidden="1" builtinId="9"/>
    <cellStyle name="Followed Hyperlink" xfId="8309" hidden="1" builtinId="9"/>
    <cellStyle name="Followed Hyperlink" xfId="8310" hidden="1" builtinId="9"/>
    <cellStyle name="Followed Hyperlink" xfId="8311" hidden="1" builtinId="9"/>
    <cellStyle name="Followed Hyperlink" xfId="8312" hidden="1" builtinId="9"/>
    <cellStyle name="Followed Hyperlink" xfId="8313" hidden="1" builtinId="9"/>
    <cellStyle name="Followed Hyperlink" xfId="8314" hidden="1" builtinId="9"/>
    <cellStyle name="Followed Hyperlink" xfId="8315" hidden="1" builtinId="9"/>
    <cellStyle name="Followed Hyperlink" xfId="8316" hidden="1" builtinId="9"/>
    <cellStyle name="Followed Hyperlink" xfId="8317" hidden="1" builtinId="9"/>
    <cellStyle name="Followed Hyperlink" xfId="8318" hidden="1" builtinId="9"/>
    <cellStyle name="Followed Hyperlink" xfId="8319" hidden="1" builtinId="9"/>
    <cellStyle name="Followed Hyperlink" xfId="8320" hidden="1" builtinId="9"/>
    <cellStyle name="Followed Hyperlink" xfId="8321" hidden="1" builtinId="9"/>
    <cellStyle name="Followed Hyperlink" xfId="8322" hidden="1" builtinId="9"/>
    <cellStyle name="Followed Hyperlink" xfId="8323" hidden="1" builtinId="9"/>
    <cellStyle name="Followed Hyperlink" xfId="8324" hidden="1" builtinId="9"/>
    <cellStyle name="Followed Hyperlink" xfId="8325" hidden="1" builtinId="9"/>
    <cellStyle name="Followed Hyperlink" xfId="8326" hidden="1" builtinId="9"/>
    <cellStyle name="Followed Hyperlink" xfId="8327" hidden="1" builtinId="9"/>
    <cellStyle name="Followed Hyperlink" xfId="8328" hidden="1" builtinId="9"/>
    <cellStyle name="Followed Hyperlink" xfId="8329" hidden="1" builtinId="9"/>
    <cellStyle name="Followed Hyperlink" xfId="8330" hidden="1" builtinId="9"/>
    <cellStyle name="Followed Hyperlink" xfId="8331" hidden="1" builtinId="9"/>
    <cellStyle name="Followed Hyperlink" xfId="8332" hidden="1" builtinId="9"/>
    <cellStyle name="Followed Hyperlink" xfId="8333" hidden="1" builtinId="9"/>
    <cellStyle name="Followed Hyperlink" xfId="8334" hidden="1" builtinId="9"/>
    <cellStyle name="Followed Hyperlink" xfId="8335" hidden="1" builtinId="9"/>
    <cellStyle name="Followed Hyperlink" xfId="8336" hidden="1" builtinId="9"/>
    <cellStyle name="Followed Hyperlink" xfId="8337" hidden="1" builtinId="9"/>
    <cellStyle name="Followed Hyperlink" xfId="8338" hidden="1" builtinId="9"/>
    <cellStyle name="Followed Hyperlink" xfId="8339" hidden="1" builtinId="9"/>
    <cellStyle name="Followed Hyperlink" xfId="8340" hidden="1" builtinId="9"/>
    <cellStyle name="Followed Hyperlink" xfId="8341" hidden="1" builtinId="9"/>
    <cellStyle name="Followed Hyperlink" xfId="8342" hidden="1" builtinId="9"/>
    <cellStyle name="Followed Hyperlink" xfId="8343" hidden="1" builtinId="9"/>
    <cellStyle name="Followed Hyperlink" xfId="8344" hidden="1" builtinId="9"/>
    <cellStyle name="Followed Hyperlink" xfId="8345" hidden="1" builtinId="9"/>
    <cellStyle name="Followed Hyperlink" xfId="8346" hidden="1" builtinId="9"/>
    <cellStyle name="Followed Hyperlink" xfId="8347" hidden="1" builtinId="9"/>
    <cellStyle name="Followed Hyperlink" xfId="8348" hidden="1" builtinId="9"/>
    <cellStyle name="Followed Hyperlink" xfId="8349" hidden="1" builtinId="9"/>
    <cellStyle name="Followed Hyperlink" xfId="8350" hidden="1" builtinId="9"/>
    <cellStyle name="Followed Hyperlink" xfId="8351" hidden="1" builtinId="9"/>
    <cellStyle name="Followed Hyperlink" xfId="8352" hidden="1" builtinId="9"/>
    <cellStyle name="Followed Hyperlink" xfId="8353" hidden="1" builtinId="9"/>
    <cellStyle name="Followed Hyperlink" xfId="8354" hidden="1" builtinId="9"/>
    <cellStyle name="Followed Hyperlink" xfId="8355" hidden="1" builtinId="9"/>
    <cellStyle name="Followed Hyperlink" xfId="8356" hidden="1" builtinId="9"/>
    <cellStyle name="Followed Hyperlink" xfId="8357" hidden="1" builtinId="9"/>
    <cellStyle name="Followed Hyperlink" xfId="8358" hidden="1" builtinId="9"/>
    <cellStyle name="Followed Hyperlink" xfId="8359" hidden="1" builtinId="9"/>
    <cellStyle name="Followed Hyperlink" xfId="8360" hidden="1" builtinId="9"/>
    <cellStyle name="Followed Hyperlink" xfId="8361" hidden="1" builtinId="9"/>
    <cellStyle name="Followed Hyperlink" xfId="8362" hidden="1" builtinId="9"/>
    <cellStyle name="Followed Hyperlink" xfId="8363" hidden="1" builtinId="9"/>
    <cellStyle name="Followed Hyperlink" xfId="8364" hidden="1" builtinId="9"/>
    <cellStyle name="Followed Hyperlink" xfId="8365" hidden="1" builtinId="9"/>
    <cellStyle name="Followed Hyperlink" xfId="8366" hidden="1" builtinId="9"/>
    <cellStyle name="Followed Hyperlink" xfId="8367" hidden="1" builtinId="9"/>
    <cellStyle name="Followed Hyperlink" xfId="8368" hidden="1" builtinId="9"/>
    <cellStyle name="Followed Hyperlink" xfId="8369" hidden="1" builtinId="9"/>
    <cellStyle name="Followed Hyperlink" xfId="8370" hidden="1" builtinId="9"/>
    <cellStyle name="Followed Hyperlink" xfId="8371" hidden="1" builtinId="9"/>
    <cellStyle name="Followed Hyperlink" xfId="8372" hidden="1" builtinId="9"/>
    <cellStyle name="Followed Hyperlink" xfId="8373" hidden="1" builtinId="9"/>
    <cellStyle name="Followed Hyperlink" xfId="8374" hidden="1" builtinId="9"/>
    <cellStyle name="Followed Hyperlink" xfId="8375" hidden="1" builtinId="9"/>
    <cellStyle name="Followed Hyperlink" xfId="8376" hidden="1" builtinId="9"/>
    <cellStyle name="Followed Hyperlink" xfId="8377" hidden="1" builtinId="9"/>
    <cellStyle name="Followed Hyperlink" xfId="8378" hidden="1" builtinId="9"/>
    <cellStyle name="Followed Hyperlink" xfId="8379" hidden="1" builtinId="9"/>
    <cellStyle name="Followed Hyperlink" xfId="8380" hidden="1" builtinId="9"/>
    <cellStyle name="Followed Hyperlink" xfId="8381" hidden="1" builtinId="9"/>
    <cellStyle name="Followed Hyperlink" xfId="8382" hidden="1" builtinId="9"/>
    <cellStyle name="Followed Hyperlink" xfId="8383" hidden="1" builtinId="9"/>
    <cellStyle name="Followed Hyperlink" xfId="8384" hidden="1" builtinId="9"/>
    <cellStyle name="Followed Hyperlink" xfId="8385" hidden="1" builtinId="9"/>
    <cellStyle name="Followed Hyperlink" xfId="8386" hidden="1" builtinId="9"/>
    <cellStyle name="Followed Hyperlink" xfId="8387" hidden="1" builtinId="9"/>
    <cellStyle name="Followed Hyperlink" xfId="8388" hidden="1" builtinId="9"/>
    <cellStyle name="Followed Hyperlink" xfId="8389" hidden="1" builtinId="9"/>
    <cellStyle name="Followed Hyperlink" xfId="8390" hidden="1" builtinId="9"/>
    <cellStyle name="Followed Hyperlink" xfId="8391" hidden="1" builtinId="9"/>
    <cellStyle name="Followed Hyperlink" xfId="8392" hidden="1" builtinId="9"/>
    <cellStyle name="Followed Hyperlink" xfId="8393" hidden="1" builtinId="9"/>
    <cellStyle name="Followed Hyperlink" xfId="8394" hidden="1" builtinId="9"/>
    <cellStyle name="Followed Hyperlink" xfId="8395" hidden="1" builtinId="9"/>
    <cellStyle name="Followed Hyperlink" xfId="8396" hidden="1" builtinId="9"/>
    <cellStyle name="Followed Hyperlink" xfId="8397" hidden="1" builtinId="9"/>
    <cellStyle name="Followed Hyperlink" xfId="8398" hidden="1" builtinId="9"/>
    <cellStyle name="Followed Hyperlink" xfId="8399" hidden="1" builtinId="9"/>
    <cellStyle name="Followed Hyperlink" xfId="8400" hidden="1" builtinId="9"/>
    <cellStyle name="Followed Hyperlink" xfId="8401" hidden="1" builtinId="9"/>
    <cellStyle name="Followed Hyperlink" xfId="8402" hidden="1" builtinId="9"/>
    <cellStyle name="Followed Hyperlink" xfId="8403" hidden="1" builtinId="9"/>
    <cellStyle name="Followed Hyperlink" xfId="8404" hidden="1" builtinId="9"/>
    <cellStyle name="Followed Hyperlink" xfId="8405" hidden="1" builtinId="9"/>
    <cellStyle name="Followed Hyperlink" xfId="8406" hidden="1" builtinId="9"/>
    <cellStyle name="Followed Hyperlink" xfId="8407" hidden="1" builtinId="9"/>
    <cellStyle name="Followed Hyperlink" xfId="8408" hidden="1" builtinId="9"/>
    <cellStyle name="Followed Hyperlink" xfId="8409" hidden="1" builtinId="9"/>
    <cellStyle name="Followed Hyperlink" xfId="8410" hidden="1" builtinId="9"/>
    <cellStyle name="Followed Hyperlink" xfId="8411" hidden="1" builtinId="9"/>
    <cellStyle name="Followed Hyperlink" xfId="8412" hidden="1" builtinId="9"/>
    <cellStyle name="Followed Hyperlink" xfId="8413" hidden="1" builtinId="9"/>
    <cellStyle name="Followed Hyperlink" xfId="8414" hidden="1" builtinId="9"/>
    <cellStyle name="Followed Hyperlink" xfId="8415" hidden="1" builtinId="9"/>
    <cellStyle name="Followed Hyperlink" xfId="8416" hidden="1" builtinId="9"/>
    <cellStyle name="Followed Hyperlink" xfId="8417" hidden="1" builtinId="9"/>
    <cellStyle name="Followed Hyperlink" xfId="8418" hidden="1" builtinId="9"/>
    <cellStyle name="Followed Hyperlink" xfId="8419" hidden="1" builtinId="9"/>
    <cellStyle name="Followed Hyperlink" xfId="8420" hidden="1" builtinId="9"/>
    <cellStyle name="Followed Hyperlink" xfId="8421" hidden="1" builtinId="9"/>
    <cellStyle name="Followed Hyperlink" xfId="8422" hidden="1" builtinId="9"/>
    <cellStyle name="Followed Hyperlink" xfId="8423" hidden="1" builtinId="9"/>
    <cellStyle name="Followed Hyperlink" xfId="8424" hidden="1" builtinId="9"/>
    <cellStyle name="Followed Hyperlink" xfId="8425" hidden="1" builtinId="9"/>
    <cellStyle name="Followed Hyperlink" xfId="8426" hidden="1" builtinId="9"/>
    <cellStyle name="Followed Hyperlink" xfId="8427" hidden="1" builtinId="9"/>
    <cellStyle name="Followed Hyperlink" xfId="8428" hidden="1" builtinId="9"/>
    <cellStyle name="Followed Hyperlink" xfId="8429" hidden="1" builtinId="9"/>
    <cellStyle name="Followed Hyperlink" xfId="8430" hidden="1" builtinId="9"/>
    <cellStyle name="Followed Hyperlink" xfId="8431" hidden="1" builtinId="9"/>
    <cellStyle name="Followed Hyperlink" xfId="8432" hidden="1" builtinId="9"/>
    <cellStyle name="Followed Hyperlink" xfId="8433" hidden="1" builtinId="9"/>
    <cellStyle name="Followed Hyperlink" xfId="8434" hidden="1" builtinId="9"/>
    <cellStyle name="Followed Hyperlink" xfId="8435" hidden="1" builtinId="9"/>
    <cellStyle name="Followed Hyperlink" xfId="8436" hidden="1" builtinId="9"/>
    <cellStyle name="Followed Hyperlink" xfId="8437" hidden="1" builtinId="9"/>
    <cellStyle name="Followed Hyperlink" xfId="8438" hidden="1" builtinId="9"/>
    <cellStyle name="Followed Hyperlink" xfId="8439" hidden="1" builtinId="9"/>
    <cellStyle name="Followed Hyperlink" xfId="8440" hidden="1" builtinId="9"/>
    <cellStyle name="Followed Hyperlink" xfId="8441" hidden="1" builtinId="9"/>
    <cellStyle name="Followed Hyperlink" xfId="8442" hidden="1" builtinId="9"/>
    <cellStyle name="Followed Hyperlink" xfId="8443" hidden="1" builtinId="9"/>
    <cellStyle name="Followed Hyperlink" xfId="8444" hidden="1" builtinId="9"/>
    <cellStyle name="Followed Hyperlink" xfId="8445" hidden="1" builtinId="9"/>
    <cellStyle name="Followed Hyperlink" xfId="8446" hidden="1" builtinId="9"/>
    <cellStyle name="Followed Hyperlink" xfId="8447" hidden="1" builtinId="9"/>
    <cellStyle name="Followed Hyperlink" xfId="8448" hidden="1" builtinId="9"/>
    <cellStyle name="Followed Hyperlink" xfId="8449" hidden="1" builtinId="9"/>
    <cellStyle name="Followed Hyperlink" xfId="8450" hidden="1" builtinId="9"/>
    <cellStyle name="Followed Hyperlink" xfId="8451" hidden="1" builtinId="9"/>
    <cellStyle name="Followed Hyperlink" xfId="8452" hidden="1" builtinId="9"/>
    <cellStyle name="Followed Hyperlink" xfId="8453" hidden="1" builtinId="9"/>
    <cellStyle name="Followed Hyperlink" xfId="8454" hidden="1" builtinId="9"/>
    <cellStyle name="Followed Hyperlink" xfId="8455" hidden="1" builtinId="9"/>
    <cellStyle name="Followed Hyperlink" xfId="8456" hidden="1" builtinId="9"/>
    <cellStyle name="Followed Hyperlink" xfId="8457" hidden="1" builtinId="9"/>
    <cellStyle name="Followed Hyperlink" xfId="8458" hidden="1" builtinId="9"/>
    <cellStyle name="Followed Hyperlink" xfId="8459" hidden="1" builtinId="9"/>
    <cellStyle name="Followed Hyperlink" xfId="8460" hidden="1" builtinId="9"/>
    <cellStyle name="Followed Hyperlink" xfId="8461" hidden="1" builtinId="9"/>
    <cellStyle name="Followed Hyperlink" xfId="8462" hidden="1" builtinId="9"/>
    <cellStyle name="Followed Hyperlink" xfId="8463" hidden="1" builtinId="9"/>
    <cellStyle name="Followed Hyperlink" xfId="8464" hidden="1" builtinId="9"/>
    <cellStyle name="Followed Hyperlink" xfId="8465" hidden="1" builtinId="9"/>
    <cellStyle name="Followed Hyperlink" xfId="8466" hidden="1" builtinId="9"/>
    <cellStyle name="Followed Hyperlink" xfId="8467" hidden="1" builtinId="9"/>
    <cellStyle name="Followed Hyperlink" xfId="8468" hidden="1" builtinId="9"/>
    <cellStyle name="Followed Hyperlink" xfId="8469" hidden="1" builtinId="9"/>
    <cellStyle name="Followed Hyperlink" xfId="8470" hidden="1" builtinId="9"/>
    <cellStyle name="Followed Hyperlink" xfId="8471" hidden="1" builtinId="9"/>
    <cellStyle name="Followed Hyperlink" xfId="8472" hidden="1" builtinId="9"/>
    <cellStyle name="Followed Hyperlink" xfId="8473" hidden="1" builtinId="9"/>
    <cellStyle name="Followed Hyperlink" xfId="8474" hidden="1" builtinId="9"/>
    <cellStyle name="Followed Hyperlink" xfId="8475" hidden="1" builtinId="9"/>
    <cellStyle name="Followed Hyperlink" xfId="8476" hidden="1" builtinId="9"/>
    <cellStyle name="Followed Hyperlink" xfId="8477" hidden="1" builtinId="9"/>
    <cellStyle name="Followed Hyperlink" xfId="8478" hidden="1" builtinId="9"/>
    <cellStyle name="Followed Hyperlink" xfId="8479" hidden="1" builtinId="9"/>
    <cellStyle name="Followed Hyperlink" xfId="8480" hidden="1" builtinId="9"/>
    <cellStyle name="Followed Hyperlink" xfId="8481" hidden="1" builtinId="9"/>
    <cellStyle name="Followed Hyperlink" xfId="8482" hidden="1" builtinId="9"/>
    <cellStyle name="Followed Hyperlink" xfId="8483" hidden="1" builtinId="9"/>
    <cellStyle name="Followed Hyperlink" xfId="8484" hidden="1" builtinId="9"/>
    <cellStyle name="Followed Hyperlink" xfId="8485" hidden="1" builtinId="9"/>
    <cellStyle name="Followed Hyperlink" xfId="8486" hidden="1" builtinId="9"/>
    <cellStyle name="Followed Hyperlink" xfId="8487" hidden="1" builtinId="9"/>
    <cellStyle name="Followed Hyperlink" xfId="8488" hidden="1" builtinId="9"/>
    <cellStyle name="Followed Hyperlink" xfId="8489" hidden="1" builtinId="9"/>
    <cellStyle name="Followed Hyperlink" xfId="8490" hidden="1" builtinId="9"/>
    <cellStyle name="Followed Hyperlink" xfId="8491" hidden="1" builtinId="9"/>
    <cellStyle name="Followed Hyperlink" xfId="8492" hidden="1" builtinId="9"/>
    <cellStyle name="Followed Hyperlink" xfId="8493" hidden="1" builtinId="9"/>
    <cellStyle name="Followed Hyperlink" xfId="8494" hidden="1" builtinId="9"/>
    <cellStyle name="Followed Hyperlink" xfId="8495" hidden="1" builtinId="9"/>
    <cellStyle name="Followed Hyperlink" xfId="8496" hidden="1" builtinId="9"/>
    <cellStyle name="Followed Hyperlink" xfId="8497" hidden="1" builtinId="9"/>
    <cellStyle name="Followed Hyperlink" xfId="8498" hidden="1" builtinId="9"/>
    <cellStyle name="Followed Hyperlink" xfId="8499" hidden="1" builtinId="9"/>
    <cellStyle name="Followed Hyperlink" xfId="8500" hidden="1" builtinId="9"/>
    <cellStyle name="Followed Hyperlink" xfId="8501" hidden="1" builtinId="9"/>
    <cellStyle name="Followed Hyperlink" xfId="8502" hidden="1" builtinId="9"/>
    <cellStyle name="Followed Hyperlink" xfId="8503" hidden="1" builtinId="9"/>
    <cellStyle name="Followed Hyperlink" xfId="8504" hidden="1" builtinId="9"/>
    <cellStyle name="Followed Hyperlink" xfId="8505" hidden="1" builtinId="9"/>
    <cellStyle name="Followed Hyperlink" xfId="8506" hidden="1" builtinId="9"/>
    <cellStyle name="Followed Hyperlink" xfId="8507" hidden="1" builtinId="9"/>
    <cellStyle name="Followed Hyperlink" xfId="8508" hidden="1" builtinId="9"/>
    <cellStyle name="Followed Hyperlink" xfId="8509" hidden="1" builtinId="9"/>
    <cellStyle name="Followed Hyperlink" xfId="8510" hidden="1" builtinId="9"/>
    <cellStyle name="Followed Hyperlink" xfId="8511" hidden="1" builtinId="9"/>
    <cellStyle name="Followed Hyperlink" xfId="8512" hidden="1" builtinId="9"/>
    <cellStyle name="Followed Hyperlink" xfId="8513" hidden="1" builtinId="9"/>
    <cellStyle name="Followed Hyperlink" xfId="8514" hidden="1" builtinId="9"/>
    <cellStyle name="Followed Hyperlink" xfId="8515" hidden="1" builtinId="9"/>
    <cellStyle name="Followed Hyperlink" xfId="8516" hidden="1" builtinId="9"/>
    <cellStyle name="Followed Hyperlink" xfId="8517" hidden="1" builtinId="9"/>
    <cellStyle name="Followed Hyperlink" xfId="8518" hidden="1" builtinId="9"/>
    <cellStyle name="Followed Hyperlink" xfId="8519" hidden="1" builtinId="9"/>
    <cellStyle name="Followed Hyperlink" xfId="8520" hidden="1" builtinId="9"/>
    <cellStyle name="Followed Hyperlink" xfId="8521" hidden="1" builtinId="9"/>
    <cellStyle name="Followed Hyperlink" xfId="8522" hidden="1" builtinId="9"/>
    <cellStyle name="Followed Hyperlink" xfId="8523" hidden="1" builtinId="9"/>
    <cellStyle name="Followed Hyperlink" xfId="8524" hidden="1" builtinId="9"/>
    <cellStyle name="Followed Hyperlink" xfId="8525" hidden="1" builtinId="9"/>
    <cellStyle name="Followed Hyperlink" xfId="8526" hidden="1" builtinId="9"/>
    <cellStyle name="Followed Hyperlink" xfId="8527" hidden="1" builtinId="9"/>
    <cellStyle name="Followed Hyperlink" xfId="8528" hidden="1" builtinId="9"/>
    <cellStyle name="Followed Hyperlink" xfId="8529" hidden="1" builtinId="9"/>
    <cellStyle name="Followed Hyperlink" xfId="8530" hidden="1" builtinId="9"/>
    <cellStyle name="Followed Hyperlink" xfId="8531" hidden="1" builtinId="9"/>
    <cellStyle name="Followed Hyperlink" xfId="8532" hidden="1" builtinId="9"/>
    <cellStyle name="Followed Hyperlink" xfId="8533" hidden="1" builtinId="9"/>
    <cellStyle name="Followed Hyperlink" xfId="8534" hidden="1" builtinId="9"/>
    <cellStyle name="Followed Hyperlink" xfId="8535" hidden="1" builtinId="9"/>
    <cellStyle name="Followed Hyperlink" xfId="8536" hidden="1" builtinId="9"/>
    <cellStyle name="Followed Hyperlink" xfId="8537" hidden="1" builtinId="9"/>
    <cellStyle name="Followed Hyperlink" xfId="8538" hidden="1" builtinId="9"/>
    <cellStyle name="Followed Hyperlink" xfId="8539" hidden="1" builtinId="9"/>
    <cellStyle name="Followed Hyperlink" xfId="8540" hidden="1" builtinId="9"/>
    <cellStyle name="Followed Hyperlink" xfId="8541" hidden="1" builtinId="9"/>
    <cellStyle name="Followed Hyperlink" xfId="8542" hidden="1" builtinId="9"/>
    <cellStyle name="Followed Hyperlink" xfId="8543" hidden="1" builtinId="9"/>
    <cellStyle name="Followed Hyperlink" xfId="8544" hidden="1" builtinId="9"/>
    <cellStyle name="Followed Hyperlink" xfId="8545" hidden="1" builtinId="9"/>
    <cellStyle name="Followed Hyperlink" xfId="8546" hidden="1" builtinId="9"/>
    <cellStyle name="Followed Hyperlink" xfId="8547" hidden="1" builtinId="9"/>
    <cellStyle name="Followed Hyperlink" xfId="8548" hidden="1" builtinId="9"/>
    <cellStyle name="Followed Hyperlink" xfId="8549" hidden="1" builtinId="9"/>
    <cellStyle name="Followed Hyperlink" xfId="8550" hidden="1" builtinId="9"/>
    <cellStyle name="Followed Hyperlink" xfId="8551" hidden="1" builtinId="9"/>
    <cellStyle name="Followed Hyperlink" xfId="8552" hidden="1" builtinId="9"/>
    <cellStyle name="Followed Hyperlink" xfId="8553" hidden="1" builtinId="9"/>
    <cellStyle name="Followed Hyperlink" xfId="8554" hidden="1" builtinId="9"/>
    <cellStyle name="Followed Hyperlink" xfId="8555" hidden="1" builtinId="9"/>
    <cellStyle name="Followed Hyperlink" xfId="8556" hidden="1" builtinId="9"/>
    <cellStyle name="Followed Hyperlink" xfId="8557" hidden="1" builtinId="9"/>
    <cellStyle name="Followed Hyperlink" xfId="8558" hidden="1" builtinId="9"/>
    <cellStyle name="Followed Hyperlink" xfId="8559" hidden="1" builtinId="9"/>
    <cellStyle name="Followed Hyperlink" xfId="8560" hidden="1" builtinId="9"/>
    <cellStyle name="Followed Hyperlink" xfId="8561" hidden="1" builtinId="9"/>
    <cellStyle name="Followed Hyperlink" xfId="8562" hidden="1" builtinId="9"/>
    <cellStyle name="Followed Hyperlink" xfId="8563" hidden="1" builtinId="9"/>
    <cellStyle name="Followed Hyperlink" xfId="8564" hidden="1" builtinId="9"/>
    <cellStyle name="Followed Hyperlink" xfId="8565" hidden="1" builtinId="9"/>
    <cellStyle name="Followed Hyperlink" xfId="8566" hidden="1" builtinId="9"/>
    <cellStyle name="Followed Hyperlink" xfId="8567" hidden="1" builtinId="9"/>
    <cellStyle name="Followed Hyperlink" xfId="8568" hidden="1" builtinId="9"/>
    <cellStyle name="Followed Hyperlink" xfId="8569" hidden="1" builtinId="9"/>
    <cellStyle name="Followed Hyperlink" xfId="8570" hidden="1" builtinId="9"/>
    <cellStyle name="Followed Hyperlink" xfId="8571" hidden="1" builtinId="9"/>
    <cellStyle name="Followed Hyperlink" xfId="8572" hidden="1" builtinId="9"/>
    <cellStyle name="Followed Hyperlink" xfId="8573" hidden="1" builtinId="9"/>
    <cellStyle name="Followed Hyperlink" xfId="8574" hidden="1" builtinId="9"/>
    <cellStyle name="Followed Hyperlink" xfId="8575" hidden="1" builtinId="9"/>
    <cellStyle name="Followed Hyperlink" xfId="8576" hidden="1" builtinId="9"/>
    <cellStyle name="Followed Hyperlink" xfId="8577" hidden="1" builtinId="9"/>
    <cellStyle name="Followed Hyperlink" xfId="8578" hidden="1" builtinId="9"/>
    <cellStyle name="Followed Hyperlink" xfId="8579" hidden="1" builtinId="9"/>
    <cellStyle name="Followed Hyperlink" xfId="8580" hidden="1" builtinId="9"/>
    <cellStyle name="Followed Hyperlink" xfId="8581" hidden="1" builtinId="9"/>
    <cellStyle name="TableColumnHeader 2" xfId="8582"/>
    <cellStyle name="Totals 2" xfId="8583"/>
    <cellStyle name="Followed Hyperlink" xfId="8584" hidden="1" builtinId="9"/>
    <cellStyle name="Followed Hyperlink" xfId="8585" hidden="1" builtinId="9"/>
    <cellStyle name="Followed Hyperlink" xfId="8586" hidden="1" builtinId="9"/>
    <cellStyle name="Followed Hyperlink" xfId="8587" hidden="1" builtinId="9"/>
    <cellStyle name="Followed Hyperlink" xfId="8588" hidden="1" builtinId="9"/>
    <cellStyle name="Followed Hyperlink" xfId="8589" hidden="1" builtinId="9"/>
    <cellStyle name="Followed Hyperlink" xfId="8590" hidden="1" builtinId="9"/>
    <cellStyle name="Followed Hyperlink" xfId="8591" hidden="1" builtinId="9"/>
    <cellStyle name="Followed Hyperlink" xfId="8592" hidden="1" builtinId="9"/>
    <cellStyle name="Followed Hyperlink" xfId="8593" hidden="1" builtinId="9"/>
    <cellStyle name="Followed Hyperlink" xfId="8594" hidden="1" builtinId="9"/>
    <cellStyle name="Followed Hyperlink" xfId="8595" hidden="1" builtinId="9"/>
    <cellStyle name="Followed Hyperlink" xfId="8596" hidden="1" builtinId="9"/>
    <cellStyle name="Followed Hyperlink" xfId="8597" hidden="1" builtinId="9"/>
    <cellStyle name="Followed Hyperlink" xfId="8598" hidden="1" builtinId="9"/>
    <cellStyle name="Followed Hyperlink" xfId="8599" hidden="1" builtinId="9"/>
    <cellStyle name="Followed Hyperlink" xfId="8600" hidden="1" builtinId="9"/>
    <cellStyle name="Followed Hyperlink" xfId="8601" hidden="1" builtinId="9"/>
    <cellStyle name="Followed Hyperlink" xfId="8602" hidden="1" builtinId="9"/>
    <cellStyle name="Followed Hyperlink" xfId="8603" hidden="1" builtinId="9"/>
    <cellStyle name="Followed Hyperlink" xfId="8604" hidden="1" builtinId="9"/>
    <cellStyle name="Followed Hyperlink" xfId="8605" hidden="1" builtinId="9"/>
    <cellStyle name="Followed Hyperlink" xfId="8606" hidden="1" builtinId="9"/>
    <cellStyle name="Followed Hyperlink" xfId="8607" hidden="1" builtinId="9"/>
    <cellStyle name="Followed Hyperlink" xfId="8608" hidden="1" builtinId="9"/>
    <cellStyle name="Followed Hyperlink" xfId="8609" hidden="1" builtinId="9"/>
    <cellStyle name="Followed Hyperlink" xfId="8610" hidden="1" builtinId="9"/>
    <cellStyle name="Followed Hyperlink" xfId="8611" hidden="1" builtinId="9"/>
    <cellStyle name="Followed Hyperlink" xfId="8612" hidden="1" builtinId="9"/>
    <cellStyle name="Followed Hyperlink" xfId="8613" hidden="1" builtinId="9"/>
    <cellStyle name="Followed Hyperlink" xfId="8614" hidden="1" builtinId="9"/>
    <cellStyle name="Followed Hyperlink" xfId="8615" hidden="1" builtinId="9"/>
    <cellStyle name="Followed Hyperlink" xfId="8616" hidden="1" builtinId="9"/>
    <cellStyle name="Followed Hyperlink" xfId="8617" hidden="1" builtinId="9"/>
    <cellStyle name="Followed Hyperlink" xfId="8618" hidden="1" builtinId="9"/>
    <cellStyle name="Followed Hyperlink" xfId="8619" hidden="1" builtinId="9"/>
    <cellStyle name="Followed Hyperlink" xfId="8620" hidden="1" builtinId="9"/>
    <cellStyle name="Followed Hyperlink" xfId="8621" hidden="1" builtinId="9"/>
    <cellStyle name="Followed Hyperlink" xfId="8622" hidden="1" builtinId="9"/>
    <cellStyle name="Followed Hyperlink" xfId="8623" hidden="1" builtinId="9"/>
    <cellStyle name="Followed Hyperlink" xfId="8624" hidden="1" builtinId="9"/>
    <cellStyle name="Followed Hyperlink" xfId="8625" hidden="1" builtinId="9"/>
    <cellStyle name="Followed Hyperlink" xfId="8626" hidden="1" builtinId="9"/>
    <cellStyle name="Followed Hyperlink" xfId="8627" hidden="1" builtinId="9"/>
    <cellStyle name="Followed Hyperlink" xfId="8628" hidden="1" builtinId="9"/>
    <cellStyle name="Followed Hyperlink" xfId="8629" hidden="1" builtinId="9"/>
    <cellStyle name="Followed Hyperlink" xfId="8630" hidden="1" builtinId="9"/>
    <cellStyle name="Followed Hyperlink" xfId="8631" hidden="1" builtinId="9"/>
    <cellStyle name="Followed Hyperlink" xfId="8632" hidden="1" builtinId="9"/>
    <cellStyle name="Followed Hyperlink" xfId="8633" hidden="1" builtinId="9"/>
    <cellStyle name="Followed Hyperlink" xfId="8634" hidden="1" builtinId="9"/>
    <cellStyle name="Followed Hyperlink" xfId="8635" hidden="1" builtinId="9"/>
    <cellStyle name="Followed Hyperlink" xfId="8636" hidden="1" builtinId="9"/>
    <cellStyle name="Followed Hyperlink" xfId="8637" hidden="1" builtinId="9"/>
    <cellStyle name="Followed Hyperlink" xfId="8638" hidden="1" builtinId="9"/>
    <cellStyle name="Followed Hyperlink" xfId="8639" hidden="1" builtinId="9"/>
    <cellStyle name="Followed Hyperlink" xfId="8640" hidden="1" builtinId="9"/>
    <cellStyle name="Followed Hyperlink" xfId="8641" hidden="1" builtinId="9"/>
    <cellStyle name="Followed Hyperlink" xfId="8642" hidden="1" builtinId="9"/>
    <cellStyle name="Followed Hyperlink" xfId="8643" hidden="1" builtinId="9"/>
    <cellStyle name="Followed Hyperlink" xfId="8644" hidden="1" builtinId="9"/>
    <cellStyle name="Followed Hyperlink" xfId="8645" hidden="1" builtinId="9"/>
    <cellStyle name="Followed Hyperlink" xfId="8646" hidden="1" builtinId="9"/>
    <cellStyle name="Followed Hyperlink" xfId="8647" hidden="1" builtinId="9"/>
    <cellStyle name="Followed Hyperlink" xfId="8648" hidden="1" builtinId="9"/>
    <cellStyle name="Followed Hyperlink" xfId="8649" hidden="1" builtinId="9"/>
    <cellStyle name="Followed Hyperlink" xfId="8650" hidden="1" builtinId="9"/>
    <cellStyle name="Followed Hyperlink" xfId="8651" hidden="1" builtinId="9"/>
    <cellStyle name="Followed Hyperlink" xfId="8652" hidden="1" builtinId="9"/>
    <cellStyle name="Followed Hyperlink" xfId="8653" hidden="1" builtinId="9"/>
    <cellStyle name="Followed Hyperlink" xfId="8654" hidden="1" builtinId="9"/>
    <cellStyle name="Followed Hyperlink" xfId="8655" hidden="1" builtinId="9"/>
    <cellStyle name="Followed Hyperlink" xfId="8656" hidden="1" builtinId="9"/>
    <cellStyle name="Followed Hyperlink" xfId="8657" hidden="1" builtinId="9"/>
    <cellStyle name="Followed Hyperlink" xfId="8658" hidden="1" builtinId="9"/>
    <cellStyle name="Followed Hyperlink" xfId="8659" hidden="1" builtinId="9"/>
    <cellStyle name="Followed Hyperlink" xfId="8660" hidden="1" builtinId="9"/>
    <cellStyle name="Followed Hyperlink" xfId="8661" hidden="1" builtinId="9"/>
    <cellStyle name="Followed Hyperlink" xfId="8662" hidden="1" builtinId="9"/>
    <cellStyle name="Followed Hyperlink" xfId="8663" hidden="1" builtinId="9"/>
    <cellStyle name="Followed Hyperlink" xfId="8664" hidden="1" builtinId="9"/>
    <cellStyle name="Followed Hyperlink" xfId="8665" hidden="1" builtinId="9"/>
    <cellStyle name="Followed Hyperlink" xfId="8666" hidden="1" builtinId="9"/>
    <cellStyle name="Followed Hyperlink" xfId="8667" hidden="1" builtinId="9"/>
    <cellStyle name="Followed Hyperlink" xfId="8668" hidden="1" builtinId="9"/>
    <cellStyle name="Followed Hyperlink" xfId="8669" hidden="1" builtinId="9"/>
    <cellStyle name="Followed Hyperlink" xfId="8670" hidden="1" builtinId="9"/>
    <cellStyle name="Followed Hyperlink" xfId="8671" hidden="1" builtinId="9"/>
    <cellStyle name="Followed Hyperlink" xfId="8672" hidden="1" builtinId="9"/>
    <cellStyle name="Followed Hyperlink" xfId="8673" hidden="1" builtinId="9"/>
    <cellStyle name="Followed Hyperlink" xfId="8674" hidden="1" builtinId="9"/>
    <cellStyle name="Followed Hyperlink" xfId="8675" hidden="1" builtinId="9"/>
    <cellStyle name="Followed Hyperlink" xfId="8676" hidden="1" builtinId="9"/>
    <cellStyle name="Followed Hyperlink" xfId="8677" hidden="1" builtinId="9"/>
    <cellStyle name="Followed Hyperlink" xfId="8678" hidden="1" builtinId="9"/>
    <cellStyle name="Followed Hyperlink" xfId="8679" hidden="1" builtinId="9"/>
    <cellStyle name="Followed Hyperlink" xfId="8680" hidden="1" builtinId="9"/>
    <cellStyle name="Followed Hyperlink" xfId="8681" hidden="1" builtinId="9"/>
    <cellStyle name="Followed Hyperlink" xfId="8682" hidden="1" builtinId="9"/>
    <cellStyle name="Followed Hyperlink" xfId="8683" hidden="1" builtinId="9"/>
    <cellStyle name="Followed Hyperlink" xfId="8684" hidden="1" builtinId="9"/>
    <cellStyle name="Followed Hyperlink" xfId="8685" hidden="1" builtinId="9"/>
    <cellStyle name="Followed Hyperlink" xfId="8686" hidden="1" builtinId="9"/>
    <cellStyle name="Followed Hyperlink" xfId="8687" hidden="1" builtinId="9"/>
    <cellStyle name="Followed Hyperlink" xfId="8688" hidden="1" builtinId="9"/>
    <cellStyle name="Followed Hyperlink" xfId="8689" hidden="1" builtinId="9"/>
    <cellStyle name="Followed Hyperlink" xfId="8690" hidden="1" builtinId="9"/>
    <cellStyle name="Followed Hyperlink" xfId="8691" hidden="1" builtinId="9"/>
    <cellStyle name="Followed Hyperlink" xfId="8692" hidden="1" builtinId="9"/>
    <cellStyle name="Followed Hyperlink" xfId="8693" hidden="1" builtinId="9"/>
    <cellStyle name="Followed Hyperlink" xfId="8694" hidden="1" builtinId="9"/>
    <cellStyle name="Followed Hyperlink" xfId="8695" hidden="1" builtinId="9"/>
    <cellStyle name="Followed Hyperlink" xfId="8696" hidden="1" builtinId="9"/>
    <cellStyle name="Followed Hyperlink" xfId="8697" hidden="1" builtinId="9"/>
    <cellStyle name="Followed Hyperlink" xfId="8698" hidden="1" builtinId="9"/>
    <cellStyle name="Followed Hyperlink" xfId="8699" hidden="1" builtinId="9"/>
    <cellStyle name="Followed Hyperlink" xfId="8700" hidden="1" builtinId="9"/>
    <cellStyle name="Followed Hyperlink" xfId="8701" hidden="1" builtinId="9"/>
    <cellStyle name="Followed Hyperlink" xfId="8702" hidden="1" builtinId="9"/>
    <cellStyle name="Followed Hyperlink" xfId="8703" hidden="1" builtinId="9"/>
    <cellStyle name="Followed Hyperlink" xfId="8704" hidden="1" builtinId="9"/>
    <cellStyle name="Followed Hyperlink" xfId="8705" hidden="1" builtinId="9"/>
    <cellStyle name="Followed Hyperlink" xfId="8706" hidden="1" builtinId="9"/>
    <cellStyle name="Followed Hyperlink" xfId="8707" hidden="1" builtinId="9"/>
    <cellStyle name="Followed Hyperlink" xfId="8708" hidden="1" builtinId="9"/>
    <cellStyle name="Followed Hyperlink" xfId="8709" hidden="1" builtinId="9"/>
    <cellStyle name="Followed Hyperlink" xfId="8710" hidden="1" builtinId="9"/>
    <cellStyle name="Followed Hyperlink" xfId="8711" hidden="1" builtinId="9"/>
    <cellStyle name="Followed Hyperlink" xfId="8712" hidden="1" builtinId="9"/>
    <cellStyle name="Followed Hyperlink" xfId="8713" hidden="1" builtinId="9"/>
    <cellStyle name="Followed Hyperlink" xfId="8714" hidden="1" builtinId="9"/>
    <cellStyle name="Followed Hyperlink" xfId="8715" hidden="1" builtinId="9"/>
    <cellStyle name="Followed Hyperlink" xfId="8716" hidden="1" builtinId="9"/>
    <cellStyle name="Followed Hyperlink" xfId="8717" hidden="1" builtinId="9"/>
    <cellStyle name="Followed Hyperlink" xfId="8718" hidden="1" builtinId="9"/>
    <cellStyle name="Followed Hyperlink" xfId="8719" hidden="1" builtinId="9"/>
    <cellStyle name="Followed Hyperlink" xfId="8720" hidden="1" builtinId="9"/>
    <cellStyle name="Followed Hyperlink" xfId="8721" hidden="1" builtinId="9"/>
    <cellStyle name="Followed Hyperlink" xfId="8722" hidden="1" builtinId="9"/>
    <cellStyle name="Followed Hyperlink" xfId="8723" hidden="1" builtinId="9"/>
    <cellStyle name="Followed Hyperlink" xfId="8724" hidden="1" builtinId="9"/>
    <cellStyle name="Followed Hyperlink" xfId="8725" hidden="1" builtinId="9"/>
    <cellStyle name="Followed Hyperlink" xfId="8726" hidden="1" builtinId="9"/>
    <cellStyle name="Followed Hyperlink" xfId="8727" hidden="1" builtinId="9"/>
    <cellStyle name="Followed Hyperlink" xfId="8728" hidden="1" builtinId="9"/>
    <cellStyle name="Followed Hyperlink" xfId="8729" hidden="1" builtinId="9"/>
    <cellStyle name="Followed Hyperlink" xfId="8730" hidden="1" builtinId="9"/>
    <cellStyle name="Followed Hyperlink" xfId="8731" hidden="1" builtinId="9"/>
    <cellStyle name="Followed Hyperlink" xfId="8732" hidden="1" builtinId="9"/>
    <cellStyle name="Followed Hyperlink" xfId="8733" hidden="1" builtinId="9"/>
    <cellStyle name="Followed Hyperlink" xfId="8734" hidden="1" builtinId="9"/>
    <cellStyle name="Followed Hyperlink" xfId="8735" hidden="1" builtinId="9"/>
    <cellStyle name="Followed Hyperlink" xfId="8736" hidden="1" builtinId="9"/>
    <cellStyle name="Followed Hyperlink" xfId="8737" hidden="1" builtinId="9"/>
    <cellStyle name="Followed Hyperlink" xfId="8738" hidden="1" builtinId="9"/>
    <cellStyle name="Followed Hyperlink" xfId="8739" hidden="1" builtinId="9"/>
    <cellStyle name="Followed Hyperlink" xfId="8740" hidden="1" builtinId="9"/>
    <cellStyle name="Followed Hyperlink" xfId="8741" hidden="1" builtinId="9"/>
    <cellStyle name="Followed Hyperlink" xfId="8742" hidden="1" builtinId="9"/>
    <cellStyle name="Followed Hyperlink" xfId="8743" hidden="1" builtinId="9"/>
    <cellStyle name="Followed Hyperlink" xfId="8744" hidden="1" builtinId="9"/>
    <cellStyle name="Followed Hyperlink" xfId="8745" hidden="1" builtinId="9"/>
    <cellStyle name="Followed Hyperlink" xfId="8746" hidden="1" builtinId="9"/>
    <cellStyle name="Followed Hyperlink" xfId="8747" hidden="1" builtinId="9"/>
    <cellStyle name="Followed Hyperlink" xfId="8748" hidden="1" builtinId="9"/>
    <cellStyle name="Followed Hyperlink" xfId="8749" hidden="1" builtinId="9"/>
    <cellStyle name="Followed Hyperlink" xfId="8750" hidden="1" builtinId="9"/>
    <cellStyle name="Followed Hyperlink" xfId="8751" hidden="1" builtinId="9"/>
    <cellStyle name="Followed Hyperlink" xfId="8752" hidden="1" builtinId="9"/>
    <cellStyle name="Followed Hyperlink" xfId="8753" hidden="1" builtinId="9"/>
    <cellStyle name="Followed Hyperlink" xfId="8754" hidden="1" builtinId="9"/>
    <cellStyle name="Followed Hyperlink" xfId="8755" hidden="1" builtinId="9"/>
    <cellStyle name="Followed Hyperlink" xfId="8756" hidden="1" builtinId="9"/>
    <cellStyle name="Followed Hyperlink" xfId="8757" hidden="1" builtinId="9"/>
    <cellStyle name="Followed Hyperlink" xfId="8758" hidden="1" builtinId="9"/>
    <cellStyle name="Followed Hyperlink" xfId="8759" hidden="1" builtinId="9"/>
    <cellStyle name="Followed Hyperlink" xfId="8760" hidden="1" builtinId="9"/>
    <cellStyle name="Followed Hyperlink" xfId="8761" hidden="1" builtinId="9"/>
    <cellStyle name="Followed Hyperlink" xfId="8762" hidden="1" builtinId="9"/>
    <cellStyle name="Followed Hyperlink" xfId="8763" hidden="1" builtinId="9"/>
    <cellStyle name="Followed Hyperlink" xfId="8764" hidden="1" builtinId="9"/>
    <cellStyle name="Followed Hyperlink" xfId="8765" hidden="1" builtinId="9"/>
    <cellStyle name="Followed Hyperlink" xfId="8766" hidden="1" builtinId="9"/>
    <cellStyle name="Followed Hyperlink" xfId="8767" hidden="1" builtinId="9"/>
    <cellStyle name="Followed Hyperlink" xfId="8768" hidden="1" builtinId="9"/>
    <cellStyle name="Followed Hyperlink" xfId="8769" hidden="1" builtinId="9"/>
    <cellStyle name="Followed Hyperlink" xfId="8770" hidden="1" builtinId="9"/>
    <cellStyle name="Followed Hyperlink" xfId="8771" hidden="1" builtinId="9"/>
    <cellStyle name="Followed Hyperlink" xfId="8772" hidden="1" builtinId="9"/>
    <cellStyle name="Followed Hyperlink" xfId="8773" hidden="1" builtinId="9"/>
    <cellStyle name="Followed Hyperlink" xfId="8774" hidden="1" builtinId="9"/>
    <cellStyle name="Followed Hyperlink" xfId="8775" hidden="1" builtinId="9"/>
    <cellStyle name="Followed Hyperlink" xfId="8776" hidden="1" builtinId="9"/>
    <cellStyle name="Followed Hyperlink" xfId="8777" hidden="1" builtinId="9"/>
    <cellStyle name="Followed Hyperlink" xfId="8778" hidden="1" builtinId="9"/>
    <cellStyle name="Followed Hyperlink" xfId="8779" hidden="1" builtinId="9"/>
    <cellStyle name="Followed Hyperlink" xfId="8780" hidden="1" builtinId="9"/>
    <cellStyle name="Followed Hyperlink" xfId="8781" hidden="1" builtinId="9"/>
    <cellStyle name="Followed Hyperlink" xfId="8782" hidden="1" builtinId="9"/>
    <cellStyle name="Followed Hyperlink" xfId="8783" hidden="1" builtinId="9"/>
    <cellStyle name="Followed Hyperlink" xfId="8784" hidden="1" builtinId="9"/>
    <cellStyle name="Followed Hyperlink" xfId="8785" hidden="1" builtinId="9"/>
    <cellStyle name="Followed Hyperlink" xfId="8786" hidden="1" builtinId="9"/>
    <cellStyle name="Followed Hyperlink" xfId="8787" hidden="1" builtinId="9"/>
    <cellStyle name="Followed Hyperlink" xfId="8788" hidden="1" builtinId="9"/>
    <cellStyle name="Followed Hyperlink" xfId="8789" hidden="1" builtinId="9"/>
    <cellStyle name="Followed Hyperlink" xfId="8790" hidden="1" builtinId="9"/>
    <cellStyle name="Followed Hyperlink" xfId="8791" hidden="1" builtinId="9"/>
    <cellStyle name="Followed Hyperlink" xfId="8792" hidden="1" builtinId="9"/>
    <cellStyle name="Followed Hyperlink" xfId="8793" hidden="1" builtinId="9"/>
    <cellStyle name="Followed Hyperlink" xfId="8794" hidden="1" builtinId="9"/>
    <cellStyle name="Followed Hyperlink" xfId="8795" hidden="1" builtinId="9"/>
    <cellStyle name="Followed Hyperlink" xfId="8796" hidden="1" builtinId="9"/>
    <cellStyle name="Followed Hyperlink" xfId="8797" hidden="1" builtinId="9"/>
    <cellStyle name="Followed Hyperlink" xfId="8798" hidden="1" builtinId="9"/>
    <cellStyle name="Followed Hyperlink" xfId="8799" hidden="1" builtinId="9"/>
    <cellStyle name="Followed Hyperlink" xfId="8800" hidden="1" builtinId="9"/>
    <cellStyle name="Followed Hyperlink" xfId="8801" hidden="1" builtinId="9"/>
    <cellStyle name="Followed Hyperlink" xfId="8802" hidden="1" builtinId="9"/>
    <cellStyle name="Followed Hyperlink" xfId="8803" hidden="1" builtinId="9"/>
    <cellStyle name="Followed Hyperlink" xfId="8804" hidden="1" builtinId="9"/>
    <cellStyle name="Followed Hyperlink" xfId="8805" hidden="1" builtinId="9"/>
    <cellStyle name="Followed Hyperlink" xfId="8806" hidden="1" builtinId="9"/>
    <cellStyle name="Followed Hyperlink" xfId="8807" hidden="1" builtinId="9"/>
    <cellStyle name="Followed Hyperlink" xfId="8808" hidden="1" builtinId="9"/>
    <cellStyle name="Followed Hyperlink" xfId="8809" hidden="1" builtinId="9"/>
    <cellStyle name="Followed Hyperlink" xfId="8810" hidden="1" builtinId="9"/>
    <cellStyle name="Followed Hyperlink" xfId="8811" hidden="1" builtinId="9"/>
    <cellStyle name="Followed Hyperlink" xfId="8812" hidden="1" builtinId="9"/>
    <cellStyle name="Followed Hyperlink" xfId="8813" hidden="1" builtinId="9"/>
    <cellStyle name="Followed Hyperlink" xfId="8814" hidden="1" builtinId="9"/>
    <cellStyle name="Followed Hyperlink" xfId="8815" hidden="1" builtinId="9"/>
    <cellStyle name="Followed Hyperlink" xfId="8816" hidden="1" builtinId="9"/>
    <cellStyle name="Followed Hyperlink" xfId="8817" hidden="1" builtinId="9"/>
    <cellStyle name="Followed Hyperlink" xfId="8818" hidden="1" builtinId="9"/>
    <cellStyle name="Followed Hyperlink" xfId="8819" hidden="1" builtinId="9"/>
    <cellStyle name="Followed Hyperlink" xfId="8820" hidden="1" builtinId="9"/>
    <cellStyle name="Followed Hyperlink" xfId="8821" hidden="1" builtinId="9"/>
    <cellStyle name="Followed Hyperlink" xfId="8822" hidden="1" builtinId="9"/>
    <cellStyle name="Followed Hyperlink" xfId="8823" hidden="1" builtinId="9"/>
    <cellStyle name="Followed Hyperlink" xfId="8824" hidden="1" builtinId="9"/>
    <cellStyle name="Followed Hyperlink" xfId="8825" hidden="1" builtinId="9"/>
    <cellStyle name="Followed Hyperlink" xfId="8826" hidden="1" builtinId="9"/>
    <cellStyle name="Followed Hyperlink" xfId="8827" hidden="1" builtinId="9"/>
    <cellStyle name="Followed Hyperlink" xfId="8828" hidden="1" builtinId="9"/>
    <cellStyle name="Followed Hyperlink" xfId="8829" hidden="1" builtinId="9"/>
    <cellStyle name="Followed Hyperlink" xfId="8830" hidden="1" builtinId="9"/>
    <cellStyle name="Followed Hyperlink" xfId="8831" hidden="1" builtinId="9"/>
    <cellStyle name="Followed Hyperlink" xfId="8832" hidden="1" builtinId="9"/>
    <cellStyle name="Followed Hyperlink" xfId="8833" hidden="1" builtinId="9"/>
    <cellStyle name="Followed Hyperlink" xfId="8834" hidden="1" builtinId="9"/>
    <cellStyle name="Followed Hyperlink" xfId="8835" hidden="1" builtinId="9"/>
    <cellStyle name="Followed Hyperlink" xfId="8836" hidden="1" builtinId="9"/>
    <cellStyle name="Followed Hyperlink" xfId="8837" hidden="1" builtinId="9"/>
    <cellStyle name="Followed Hyperlink" xfId="8838" hidden="1" builtinId="9"/>
    <cellStyle name="Followed Hyperlink" xfId="8839" hidden="1" builtinId="9"/>
    <cellStyle name="Followed Hyperlink" xfId="8840" hidden="1" builtinId="9"/>
    <cellStyle name="Followed Hyperlink" xfId="8841" hidden="1" builtinId="9"/>
    <cellStyle name="Followed Hyperlink" xfId="8842" hidden="1" builtinId="9"/>
    <cellStyle name="Followed Hyperlink" xfId="8843" hidden="1" builtinId="9"/>
    <cellStyle name="Followed Hyperlink" xfId="8844" hidden="1" builtinId="9"/>
    <cellStyle name="Followed Hyperlink" xfId="8845" hidden="1" builtinId="9"/>
    <cellStyle name="Followed Hyperlink" xfId="8846" hidden="1" builtinId="9"/>
    <cellStyle name="Followed Hyperlink" xfId="8847" hidden="1" builtinId="9"/>
    <cellStyle name="Followed Hyperlink" xfId="8848" hidden="1" builtinId="9"/>
    <cellStyle name="Followed Hyperlink" xfId="8849" hidden="1" builtinId="9"/>
    <cellStyle name="Followed Hyperlink" xfId="8850" hidden="1" builtinId="9"/>
    <cellStyle name="Followed Hyperlink" xfId="8851" hidden="1" builtinId="9"/>
    <cellStyle name="Followed Hyperlink" xfId="8852" hidden="1" builtinId="9"/>
    <cellStyle name="Followed Hyperlink" xfId="8853" hidden="1" builtinId="9"/>
    <cellStyle name="Followed Hyperlink" xfId="8854" hidden="1" builtinId="9"/>
    <cellStyle name="Followed Hyperlink" xfId="8855" hidden="1" builtinId="9"/>
    <cellStyle name="Followed Hyperlink" xfId="8856" hidden="1" builtinId="9"/>
    <cellStyle name="Followed Hyperlink" xfId="8857" hidden="1" builtinId="9"/>
    <cellStyle name="Followed Hyperlink" xfId="8858" hidden="1" builtinId="9"/>
    <cellStyle name="Followed Hyperlink" xfId="8859" hidden="1" builtinId="9"/>
    <cellStyle name="Followed Hyperlink" xfId="8860" hidden="1" builtinId="9"/>
    <cellStyle name="Followed Hyperlink" xfId="8861" hidden="1" builtinId="9"/>
    <cellStyle name="Followed Hyperlink" xfId="8862" hidden="1" builtinId="9"/>
    <cellStyle name="Followed Hyperlink" xfId="8863" hidden="1" builtinId="9"/>
    <cellStyle name="Followed Hyperlink" xfId="8864" hidden="1" builtinId="9"/>
    <cellStyle name="Followed Hyperlink" xfId="8865" hidden="1" builtinId="9"/>
    <cellStyle name="Followed Hyperlink" xfId="8866" hidden="1" builtinId="9"/>
    <cellStyle name="Followed Hyperlink" xfId="8867" hidden="1" builtinId="9"/>
    <cellStyle name="Followed Hyperlink" xfId="8868" hidden="1" builtinId="9"/>
    <cellStyle name="Followed Hyperlink" xfId="8869" hidden="1" builtinId="9"/>
    <cellStyle name="Followed Hyperlink" xfId="8870" hidden="1" builtinId="9"/>
    <cellStyle name="Followed Hyperlink" xfId="8871" hidden="1" builtinId="9"/>
    <cellStyle name="Followed Hyperlink" xfId="8872" hidden="1" builtinId="9"/>
    <cellStyle name="Followed Hyperlink" xfId="8873" hidden="1" builtinId="9"/>
    <cellStyle name="Followed Hyperlink" xfId="8874" hidden="1" builtinId="9"/>
    <cellStyle name="Followed Hyperlink" xfId="8875" hidden="1" builtinId="9"/>
    <cellStyle name="Followed Hyperlink" xfId="8876" hidden="1" builtinId="9"/>
    <cellStyle name="Followed Hyperlink" xfId="8877" hidden="1" builtinId="9"/>
    <cellStyle name="Followed Hyperlink" xfId="8878" hidden="1" builtinId="9"/>
    <cellStyle name="Followed Hyperlink" xfId="8879" hidden="1" builtinId="9"/>
    <cellStyle name="Followed Hyperlink" xfId="8880" hidden="1" builtinId="9"/>
    <cellStyle name="Followed Hyperlink" xfId="8881" hidden="1" builtinId="9"/>
    <cellStyle name="Followed Hyperlink" xfId="8882" hidden="1" builtinId="9"/>
    <cellStyle name="Followed Hyperlink" xfId="8883" hidden="1" builtinId="9"/>
    <cellStyle name="Followed Hyperlink" xfId="8884" hidden="1" builtinId="9"/>
    <cellStyle name="Followed Hyperlink" xfId="8885" hidden="1" builtinId="9"/>
    <cellStyle name="Followed Hyperlink" xfId="8886" hidden="1" builtinId="9"/>
    <cellStyle name="Followed Hyperlink" xfId="8887" hidden="1" builtinId="9"/>
    <cellStyle name="Followed Hyperlink" xfId="8888" hidden="1" builtinId="9"/>
    <cellStyle name="Followed Hyperlink" xfId="8889" hidden="1" builtinId="9"/>
    <cellStyle name="Followed Hyperlink" xfId="8890" hidden="1" builtinId="9"/>
    <cellStyle name="Followed Hyperlink" xfId="8891" hidden="1" builtinId="9"/>
    <cellStyle name="Followed Hyperlink" xfId="8892" hidden="1" builtinId="9"/>
    <cellStyle name="Followed Hyperlink" xfId="8893" hidden="1" builtinId="9"/>
    <cellStyle name="Followed Hyperlink" xfId="8894" hidden="1" builtinId="9"/>
    <cellStyle name="Followed Hyperlink" xfId="8895" hidden="1" builtinId="9"/>
    <cellStyle name="Followed Hyperlink" xfId="8896" hidden="1" builtinId="9"/>
    <cellStyle name="Followed Hyperlink" xfId="8897" hidden="1" builtinId="9"/>
    <cellStyle name="Followed Hyperlink" xfId="8898" hidden="1" builtinId="9"/>
    <cellStyle name="Followed Hyperlink" xfId="8899" hidden="1" builtinId="9"/>
    <cellStyle name="Followed Hyperlink" xfId="8900" hidden="1" builtinId="9"/>
    <cellStyle name="Followed Hyperlink" xfId="8901" hidden="1" builtinId="9"/>
    <cellStyle name="Followed Hyperlink" xfId="8902" hidden="1" builtinId="9"/>
    <cellStyle name="Followed Hyperlink" xfId="8903" hidden="1" builtinId="9"/>
    <cellStyle name="Followed Hyperlink" xfId="8904" hidden="1" builtinId="9"/>
    <cellStyle name="Followed Hyperlink" xfId="8905" hidden="1" builtinId="9"/>
    <cellStyle name="Followed Hyperlink" xfId="8906" hidden="1" builtinId="9"/>
    <cellStyle name="Followed Hyperlink" xfId="8907" hidden="1" builtinId="9"/>
    <cellStyle name="Followed Hyperlink" xfId="8908" hidden="1" builtinId="9"/>
    <cellStyle name="Followed Hyperlink" xfId="8909" hidden="1" builtinId="9"/>
    <cellStyle name="Followed Hyperlink" xfId="8910" hidden="1" builtinId="9"/>
    <cellStyle name="Followed Hyperlink" xfId="8911" hidden="1" builtinId="9"/>
    <cellStyle name="Followed Hyperlink" xfId="8912" hidden="1" builtinId="9"/>
    <cellStyle name="Followed Hyperlink" xfId="8913" hidden="1" builtinId="9"/>
    <cellStyle name="Followed Hyperlink" xfId="8914" hidden="1" builtinId="9"/>
    <cellStyle name="Followed Hyperlink" xfId="8915" hidden="1" builtinId="9"/>
    <cellStyle name="Followed Hyperlink" xfId="8916" hidden="1" builtinId="9"/>
    <cellStyle name="Followed Hyperlink" xfId="8917" hidden="1" builtinId="9"/>
    <cellStyle name="Followed Hyperlink" xfId="8918" hidden="1" builtinId="9"/>
    <cellStyle name="Followed Hyperlink" xfId="8919" hidden="1" builtinId="9"/>
    <cellStyle name="Followed Hyperlink" xfId="8920" hidden="1" builtinId="9"/>
    <cellStyle name="Followed Hyperlink" xfId="8921" hidden="1" builtinId="9"/>
    <cellStyle name="Followed Hyperlink" xfId="8922" hidden="1" builtinId="9"/>
    <cellStyle name="Followed Hyperlink" xfId="8923" hidden="1" builtinId="9"/>
    <cellStyle name="Followed Hyperlink" xfId="8924" hidden="1" builtinId="9"/>
    <cellStyle name="Followed Hyperlink" xfId="8925" hidden="1" builtinId="9"/>
    <cellStyle name="Followed Hyperlink" xfId="8926" hidden="1" builtinId="9"/>
    <cellStyle name="Followed Hyperlink" xfId="8927" hidden="1" builtinId="9"/>
    <cellStyle name="Followed Hyperlink" xfId="8928" hidden="1" builtinId="9"/>
    <cellStyle name="Followed Hyperlink" xfId="8929" hidden="1" builtinId="9"/>
    <cellStyle name="Followed Hyperlink" xfId="8930" hidden="1" builtinId="9"/>
    <cellStyle name="Followed Hyperlink" xfId="8931" hidden="1" builtinId="9"/>
    <cellStyle name="Followed Hyperlink" xfId="8932" hidden="1" builtinId="9"/>
    <cellStyle name="Followed Hyperlink" xfId="8933" hidden="1" builtinId="9"/>
    <cellStyle name="Followed Hyperlink" xfId="8934" hidden="1" builtinId="9"/>
    <cellStyle name="Followed Hyperlink" xfId="8935" hidden="1" builtinId="9"/>
    <cellStyle name="Followed Hyperlink" xfId="8936" hidden="1" builtinId="9"/>
    <cellStyle name="Followed Hyperlink" xfId="8937" hidden="1" builtinId="9"/>
    <cellStyle name="Followed Hyperlink" xfId="8938" hidden="1" builtinId="9"/>
    <cellStyle name="Followed Hyperlink" xfId="8939" hidden="1" builtinId="9"/>
    <cellStyle name="Followed Hyperlink" xfId="8940" hidden="1" builtinId="9"/>
    <cellStyle name="Followed Hyperlink" xfId="8941" hidden="1" builtinId="9"/>
    <cellStyle name="Followed Hyperlink" xfId="8942" hidden="1" builtinId="9"/>
    <cellStyle name="Followed Hyperlink" xfId="8943" hidden="1" builtinId="9"/>
    <cellStyle name="Followed Hyperlink" xfId="8944" hidden="1" builtinId="9"/>
    <cellStyle name="Followed Hyperlink" xfId="8945" hidden="1" builtinId="9"/>
    <cellStyle name="Followed Hyperlink" xfId="8946" hidden="1" builtinId="9"/>
    <cellStyle name="Followed Hyperlink" xfId="8947" hidden="1" builtinId="9"/>
    <cellStyle name="Followed Hyperlink" xfId="8948" hidden="1" builtinId="9"/>
    <cellStyle name="Followed Hyperlink" xfId="8949" hidden="1" builtinId="9"/>
    <cellStyle name="Followed Hyperlink" xfId="8950" hidden="1" builtinId="9"/>
    <cellStyle name="Followed Hyperlink" xfId="8951" hidden="1" builtinId="9"/>
    <cellStyle name="Followed Hyperlink" xfId="8952" hidden="1" builtinId="9"/>
    <cellStyle name="Followed Hyperlink" xfId="8953" hidden="1" builtinId="9"/>
    <cellStyle name="Followed Hyperlink" xfId="8954" hidden="1" builtinId="9"/>
    <cellStyle name="Followed Hyperlink" xfId="8955" hidden="1" builtinId="9"/>
    <cellStyle name="Followed Hyperlink" xfId="8956" hidden="1" builtinId="9"/>
    <cellStyle name="Followed Hyperlink" xfId="8957" hidden="1" builtinId="9"/>
    <cellStyle name="Followed Hyperlink" xfId="8958" hidden="1" builtinId="9"/>
    <cellStyle name="Followed Hyperlink" xfId="8959" hidden="1" builtinId="9"/>
    <cellStyle name="Followed Hyperlink" xfId="8960" hidden="1" builtinId="9"/>
    <cellStyle name="Followed Hyperlink" xfId="8961" hidden="1" builtinId="9"/>
    <cellStyle name="Followed Hyperlink" xfId="8962" hidden="1" builtinId="9"/>
    <cellStyle name="Followed Hyperlink" xfId="8963" hidden="1" builtinId="9"/>
    <cellStyle name="Followed Hyperlink" xfId="8964" hidden="1" builtinId="9"/>
    <cellStyle name="Followed Hyperlink" xfId="8965" hidden="1" builtinId="9"/>
    <cellStyle name="Followed Hyperlink" xfId="8966" hidden="1" builtinId="9"/>
    <cellStyle name="Followed Hyperlink" xfId="8967" hidden="1" builtinId="9"/>
    <cellStyle name="Followed Hyperlink" xfId="8968" hidden="1" builtinId="9"/>
    <cellStyle name="Followed Hyperlink" xfId="8969" hidden="1" builtinId="9"/>
    <cellStyle name="Followed Hyperlink" xfId="8970" hidden="1" builtinId="9"/>
    <cellStyle name="Followed Hyperlink" xfId="8971" hidden="1" builtinId="9"/>
    <cellStyle name="Followed Hyperlink" xfId="8972" hidden="1" builtinId="9"/>
    <cellStyle name="Followed Hyperlink" xfId="8973" hidden="1" builtinId="9"/>
    <cellStyle name="Followed Hyperlink" xfId="8974" hidden="1" builtinId="9"/>
    <cellStyle name="Followed Hyperlink" xfId="8975" hidden="1" builtinId="9"/>
    <cellStyle name="Followed Hyperlink" xfId="8976" hidden="1" builtinId="9"/>
    <cellStyle name="Followed Hyperlink" xfId="8977" hidden="1" builtinId="9"/>
    <cellStyle name="Followed Hyperlink" xfId="8978" hidden="1" builtinId="9"/>
    <cellStyle name="Followed Hyperlink" xfId="8979" hidden="1" builtinId="9"/>
    <cellStyle name="Followed Hyperlink" xfId="8980" hidden="1" builtinId="9"/>
    <cellStyle name="Followed Hyperlink" xfId="8981" hidden="1" builtinId="9"/>
    <cellStyle name="Followed Hyperlink" xfId="8982" hidden="1" builtinId="9"/>
    <cellStyle name="Followed Hyperlink" xfId="8983" hidden="1" builtinId="9"/>
    <cellStyle name="Followed Hyperlink" xfId="8984" hidden="1" builtinId="9"/>
    <cellStyle name="Followed Hyperlink" xfId="8985" hidden="1" builtinId="9"/>
    <cellStyle name="Followed Hyperlink" xfId="8986" hidden="1" builtinId="9"/>
    <cellStyle name="Followed Hyperlink" xfId="8987" hidden="1" builtinId="9"/>
    <cellStyle name="Followed Hyperlink" xfId="8988" hidden="1" builtinId="9"/>
    <cellStyle name="Followed Hyperlink" xfId="8989" hidden="1" builtinId="9"/>
    <cellStyle name="Followed Hyperlink" xfId="8990" hidden="1" builtinId="9"/>
    <cellStyle name="Followed Hyperlink" xfId="8991" hidden="1" builtinId="9"/>
    <cellStyle name="Followed Hyperlink" xfId="8992" hidden="1" builtinId="9"/>
    <cellStyle name="Followed Hyperlink" xfId="8993" hidden="1" builtinId="9"/>
    <cellStyle name="Followed Hyperlink" xfId="8994" hidden="1" builtinId="9"/>
    <cellStyle name="Followed Hyperlink" xfId="8995" hidden="1" builtinId="9"/>
    <cellStyle name="Followed Hyperlink" xfId="8996" hidden="1" builtinId="9"/>
    <cellStyle name="Followed Hyperlink" xfId="8997" hidden="1" builtinId="9"/>
    <cellStyle name="Followed Hyperlink" xfId="8998" hidden="1" builtinId="9"/>
    <cellStyle name="Followed Hyperlink" xfId="8999" hidden="1" builtinId="9"/>
    <cellStyle name="Followed Hyperlink" xfId="9000" hidden="1" builtinId="9"/>
    <cellStyle name="Followed Hyperlink" xfId="9001" hidden="1" builtinId="9"/>
    <cellStyle name="Followed Hyperlink" xfId="9002" hidden="1" builtinId="9"/>
    <cellStyle name="Followed Hyperlink" xfId="9003" hidden="1" builtinId="9"/>
    <cellStyle name="Followed Hyperlink" xfId="9004" hidden="1" builtinId="9"/>
    <cellStyle name="Followed Hyperlink" xfId="9005" hidden="1" builtinId="9"/>
    <cellStyle name="Followed Hyperlink" xfId="9006" hidden="1" builtinId="9"/>
    <cellStyle name="Followed Hyperlink" xfId="9007" hidden="1" builtinId="9"/>
    <cellStyle name="Followed Hyperlink" xfId="9008" hidden="1" builtinId="9"/>
    <cellStyle name="Followed Hyperlink" xfId="9009" hidden="1" builtinId="9"/>
    <cellStyle name="Followed Hyperlink" xfId="9010" hidden="1" builtinId="9"/>
    <cellStyle name="Followed Hyperlink" xfId="9011" hidden="1" builtinId="9"/>
    <cellStyle name="Followed Hyperlink" xfId="9012" hidden="1" builtinId="9"/>
    <cellStyle name="Followed Hyperlink" xfId="9013" hidden="1" builtinId="9"/>
    <cellStyle name="Followed Hyperlink" xfId="9014" hidden="1" builtinId="9"/>
    <cellStyle name="Followed Hyperlink" xfId="9015" hidden="1" builtinId="9"/>
    <cellStyle name="Followed Hyperlink" xfId="9016" hidden="1" builtinId="9"/>
    <cellStyle name="Followed Hyperlink" xfId="9017" hidden="1" builtinId="9"/>
    <cellStyle name="Followed Hyperlink" xfId="9018" hidden="1" builtinId="9"/>
    <cellStyle name="Followed Hyperlink" xfId="9019" hidden="1" builtinId="9"/>
    <cellStyle name="Followed Hyperlink" xfId="9020" hidden="1" builtinId="9"/>
    <cellStyle name="Followed Hyperlink" xfId="9021" hidden="1" builtinId="9"/>
    <cellStyle name="Followed Hyperlink" xfId="9022" hidden="1" builtinId="9"/>
    <cellStyle name="Followed Hyperlink" xfId="9023" hidden="1" builtinId="9"/>
    <cellStyle name="Followed Hyperlink" xfId="9024" hidden="1" builtinId="9"/>
    <cellStyle name="Followed Hyperlink" xfId="9025" hidden="1" builtinId="9"/>
    <cellStyle name="Followed Hyperlink" xfId="9026" hidden="1" builtinId="9"/>
    <cellStyle name="Followed Hyperlink" xfId="9027" hidden="1" builtinId="9"/>
    <cellStyle name="Followed Hyperlink" xfId="9028" hidden="1" builtinId="9"/>
    <cellStyle name="Followed Hyperlink" xfId="9029" hidden="1" builtinId="9"/>
    <cellStyle name="Followed Hyperlink" xfId="9030" hidden="1" builtinId="9"/>
    <cellStyle name="Followed Hyperlink" xfId="9031" hidden="1" builtinId="9"/>
    <cellStyle name="Followed Hyperlink" xfId="9032" hidden="1" builtinId="9"/>
    <cellStyle name="Followed Hyperlink" xfId="9033" hidden="1" builtinId="9"/>
    <cellStyle name="Followed Hyperlink" xfId="9034" hidden="1" builtinId="9"/>
    <cellStyle name="Followed Hyperlink" xfId="9035" hidden="1" builtinId="9"/>
    <cellStyle name="Followed Hyperlink" xfId="9036" hidden="1" builtinId="9"/>
    <cellStyle name="Followed Hyperlink" xfId="9037" hidden="1" builtinId="9"/>
    <cellStyle name="Followed Hyperlink" xfId="9038" hidden="1" builtinId="9"/>
    <cellStyle name="Followed Hyperlink" xfId="9039" hidden="1" builtinId="9"/>
    <cellStyle name="Followed Hyperlink" xfId="9040" hidden="1" builtinId="9"/>
    <cellStyle name="Followed Hyperlink" xfId="9041" hidden="1" builtinId="9"/>
    <cellStyle name="Followed Hyperlink" xfId="9042" hidden="1" builtinId="9"/>
    <cellStyle name="Followed Hyperlink" xfId="9043" hidden="1" builtinId="9"/>
    <cellStyle name="Followed Hyperlink" xfId="9044" hidden="1" builtinId="9"/>
    <cellStyle name="Followed Hyperlink" xfId="9045" hidden="1" builtinId="9"/>
    <cellStyle name="Followed Hyperlink" xfId="9046" hidden="1" builtinId="9"/>
    <cellStyle name="Followed Hyperlink" xfId="9047" hidden="1" builtinId="9"/>
    <cellStyle name="Followed Hyperlink" xfId="9048" hidden="1" builtinId="9"/>
    <cellStyle name="Followed Hyperlink" xfId="9049" hidden="1" builtinId="9"/>
    <cellStyle name="Followed Hyperlink" xfId="9050" hidden="1" builtinId="9"/>
    <cellStyle name="Followed Hyperlink" xfId="9051" hidden="1" builtinId="9"/>
    <cellStyle name="Followed Hyperlink" xfId="9052" hidden="1" builtinId="9"/>
    <cellStyle name="Followed Hyperlink" xfId="9053" hidden="1" builtinId="9"/>
    <cellStyle name="Followed Hyperlink" xfId="9054" hidden="1" builtinId="9"/>
    <cellStyle name="Followed Hyperlink" xfId="9055" hidden="1" builtinId="9"/>
    <cellStyle name="Followed Hyperlink" xfId="9056" hidden="1" builtinId="9"/>
    <cellStyle name="Followed Hyperlink" xfId="9057" hidden="1" builtinId="9"/>
    <cellStyle name="Followed Hyperlink" xfId="9058" hidden="1" builtinId="9"/>
    <cellStyle name="Followed Hyperlink" xfId="9059" hidden="1" builtinId="9"/>
    <cellStyle name="Followed Hyperlink" xfId="9060" hidden="1" builtinId="9"/>
    <cellStyle name="Followed Hyperlink" xfId="9061" hidden="1" builtinId="9"/>
    <cellStyle name="Followed Hyperlink" xfId="9062" hidden="1" builtinId="9"/>
    <cellStyle name="Followed Hyperlink" xfId="9063" hidden="1" builtinId="9"/>
    <cellStyle name="Followed Hyperlink" xfId="9064" hidden="1" builtinId="9"/>
    <cellStyle name="Followed Hyperlink" xfId="9065" hidden="1" builtinId="9"/>
    <cellStyle name="Followed Hyperlink" xfId="9066" hidden="1" builtinId="9"/>
    <cellStyle name="Followed Hyperlink" xfId="9067" hidden="1" builtinId="9"/>
    <cellStyle name="Followed Hyperlink" xfId="9068" hidden="1" builtinId="9"/>
    <cellStyle name="Followed Hyperlink" xfId="9069" hidden="1" builtinId="9"/>
    <cellStyle name="Followed Hyperlink" xfId="9070" hidden="1" builtinId="9"/>
    <cellStyle name="Followed Hyperlink" xfId="9071" hidden="1" builtinId="9"/>
    <cellStyle name="Followed Hyperlink" xfId="9072" hidden="1" builtinId="9"/>
    <cellStyle name="Followed Hyperlink" xfId="9073" hidden="1" builtinId="9"/>
    <cellStyle name="Followed Hyperlink" xfId="9074" hidden="1" builtinId="9"/>
    <cellStyle name="Followed Hyperlink" xfId="9075" hidden="1" builtinId="9"/>
    <cellStyle name="Followed Hyperlink" xfId="9076" hidden="1" builtinId="9"/>
    <cellStyle name="Followed Hyperlink" xfId="9077" hidden="1" builtinId="9"/>
    <cellStyle name="Followed Hyperlink" xfId="9078" hidden="1" builtinId="9"/>
    <cellStyle name="Followed Hyperlink" xfId="9079" hidden="1" builtinId="9"/>
    <cellStyle name="Followed Hyperlink" xfId="9080" hidden="1" builtinId="9"/>
    <cellStyle name="Followed Hyperlink" xfId="9081" hidden="1" builtinId="9"/>
    <cellStyle name="Followed Hyperlink" xfId="9082" hidden="1" builtinId="9"/>
    <cellStyle name="Followed Hyperlink" xfId="9083" hidden="1" builtinId="9"/>
    <cellStyle name="Followed Hyperlink" xfId="9084" hidden="1" builtinId="9"/>
    <cellStyle name="Followed Hyperlink" xfId="9085" hidden="1" builtinId="9"/>
    <cellStyle name="Followed Hyperlink" xfId="9086" hidden="1" builtinId="9"/>
    <cellStyle name="Followed Hyperlink" xfId="9087" hidden="1" builtinId="9"/>
    <cellStyle name="Followed Hyperlink" xfId="9088" hidden="1" builtinId="9"/>
    <cellStyle name="Followed Hyperlink" xfId="9089" hidden="1" builtinId="9"/>
    <cellStyle name="Followed Hyperlink" xfId="9090" hidden="1" builtinId="9"/>
    <cellStyle name="Followed Hyperlink" xfId="9091" hidden="1" builtinId="9"/>
    <cellStyle name="Followed Hyperlink" xfId="9092" hidden="1" builtinId="9"/>
    <cellStyle name="Followed Hyperlink" xfId="9093" hidden="1" builtinId="9"/>
    <cellStyle name="Followed Hyperlink" xfId="9094" hidden="1" builtinId="9"/>
    <cellStyle name="Followed Hyperlink" xfId="9095" hidden="1" builtinId="9"/>
    <cellStyle name="Followed Hyperlink" xfId="9096" hidden="1" builtinId="9"/>
    <cellStyle name="Followed Hyperlink" xfId="9097" hidden="1" builtinId="9"/>
    <cellStyle name="Followed Hyperlink" xfId="9098" hidden="1" builtinId="9"/>
    <cellStyle name="Followed Hyperlink" xfId="9099" hidden="1" builtinId="9"/>
    <cellStyle name="Followed Hyperlink" xfId="9100" hidden="1" builtinId="9"/>
    <cellStyle name="Followed Hyperlink" xfId="9101" hidden="1" builtinId="9"/>
    <cellStyle name="Followed Hyperlink" xfId="9102" hidden="1" builtinId="9"/>
    <cellStyle name="Followed Hyperlink" xfId="9103" hidden="1" builtinId="9"/>
    <cellStyle name="Followed Hyperlink" xfId="9104" hidden="1" builtinId="9"/>
    <cellStyle name="Followed Hyperlink" xfId="9105" hidden="1" builtinId="9"/>
    <cellStyle name="Followed Hyperlink" xfId="9106" hidden="1" builtinId="9"/>
    <cellStyle name="Followed Hyperlink" xfId="9107" hidden="1" builtinId="9"/>
    <cellStyle name="Followed Hyperlink" xfId="9108" hidden="1" builtinId="9"/>
    <cellStyle name="Followed Hyperlink" xfId="9109" hidden="1" builtinId="9"/>
    <cellStyle name="Followed Hyperlink" xfId="9110" hidden="1" builtinId="9"/>
    <cellStyle name="Followed Hyperlink" xfId="9111" hidden="1" builtinId="9"/>
    <cellStyle name="Followed Hyperlink" xfId="9112" hidden="1" builtinId="9"/>
    <cellStyle name="Followed Hyperlink" xfId="9113" hidden="1" builtinId="9"/>
    <cellStyle name="Followed Hyperlink" xfId="9114" hidden="1" builtinId="9"/>
    <cellStyle name="Followed Hyperlink" xfId="9115" hidden="1" builtinId="9"/>
    <cellStyle name="Followed Hyperlink" xfId="9116" hidden="1" builtinId="9"/>
    <cellStyle name="Followed Hyperlink" xfId="9117" hidden="1" builtinId="9"/>
    <cellStyle name="Followed Hyperlink" xfId="9118" hidden="1" builtinId="9"/>
    <cellStyle name="Followed Hyperlink" xfId="9119" hidden="1" builtinId="9"/>
    <cellStyle name="Followed Hyperlink" xfId="9120" hidden="1" builtinId="9"/>
    <cellStyle name="Followed Hyperlink" xfId="9121" hidden="1" builtinId="9"/>
    <cellStyle name="Followed Hyperlink" xfId="9122" hidden="1" builtinId="9"/>
    <cellStyle name="Followed Hyperlink" xfId="9123" hidden="1" builtinId="9"/>
    <cellStyle name="Followed Hyperlink" xfId="9124" hidden="1" builtinId="9"/>
    <cellStyle name="Followed Hyperlink" xfId="9125" hidden="1" builtinId="9"/>
    <cellStyle name="Followed Hyperlink" xfId="9126" hidden="1" builtinId="9"/>
    <cellStyle name="Followed Hyperlink" xfId="9127" hidden="1" builtinId="9"/>
    <cellStyle name="Followed Hyperlink" xfId="9128" hidden="1" builtinId="9"/>
    <cellStyle name="Followed Hyperlink" xfId="9129" hidden="1" builtinId="9"/>
    <cellStyle name="Followed Hyperlink" xfId="9130" hidden="1" builtinId="9"/>
    <cellStyle name="Followed Hyperlink" xfId="9131" hidden="1" builtinId="9"/>
    <cellStyle name="Followed Hyperlink" xfId="9132" hidden="1" builtinId="9"/>
    <cellStyle name="Followed Hyperlink" xfId="9133" hidden="1" builtinId="9"/>
    <cellStyle name="Followed Hyperlink" xfId="9134" hidden="1" builtinId="9"/>
    <cellStyle name="Followed Hyperlink" xfId="9135" hidden="1" builtinId="9"/>
    <cellStyle name="Followed Hyperlink" xfId="9136" hidden="1" builtinId="9"/>
    <cellStyle name="Followed Hyperlink" xfId="9137" hidden="1" builtinId="9"/>
    <cellStyle name="Followed Hyperlink" xfId="9138" hidden="1" builtinId="9"/>
    <cellStyle name="Followed Hyperlink" xfId="9139" hidden="1" builtinId="9"/>
    <cellStyle name="Followed Hyperlink" xfId="9140" hidden="1" builtinId="9"/>
    <cellStyle name="Followed Hyperlink" xfId="9141" hidden="1" builtinId="9"/>
    <cellStyle name="Followed Hyperlink" xfId="9142" hidden="1" builtinId="9"/>
    <cellStyle name="Followed Hyperlink" xfId="9143" hidden="1" builtinId="9"/>
    <cellStyle name="Followed Hyperlink" xfId="9144" hidden="1" builtinId="9"/>
    <cellStyle name="Followed Hyperlink" xfId="9145" hidden="1" builtinId="9"/>
    <cellStyle name="Followed Hyperlink" xfId="9146" hidden="1" builtinId="9"/>
    <cellStyle name="Followed Hyperlink" xfId="9147" hidden="1" builtinId="9"/>
    <cellStyle name="Followed Hyperlink" xfId="9148" hidden="1" builtinId="9"/>
    <cellStyle name="Followed Hyperlink" xfId="9149" hidden="1" builtinId="9"/>
    <cellStyle name="Followed Hyperlink" xfId="9150" hidden="1" builtinId="9"/>
    <cellStyle name="Followed Hyperlink" xfId="9151" hidden="1" builtinId="9"/>
    <cellStyle name="Followed Hyperlink" xfId="9152" hidden="1" builtinId="9"/>
    <cellStyle name="Followed Hyperlink" xfId="9153" hidden="1" builtinId="9"/>
    <cellStyle name="Followed Hyperlink" xfId="9154" hidden="1" builtinId="9"/>
    <cellStyle name="Followed Hyperlink" xfId="9155" hidden="1" builtinId="9"/>
    <cellStyle name="Followed Hyperlink" xfId="9156" hidden="1" builtinId="9"/>
    <cellStyle name="Followed Hyperlink" xfId="9157" hidden="1" builtinId="9"/>
    <cellStyle name="Followed Hyperlink" xfId="9158" hidden="1" builtinId="9"/>
    <cellStyle name="Followed Hyperlink" xfId="9159" hidden="1" builtinId="9"/>
    <cellStyle name="Followed Hyperlink" xfId="9160" hidden="1" builtinId="9"/>
    <cellStyle name="Followed Hyperlink" xfId="9161" hidden="1" builtinId="9"/>
    <cellStyle name="Followed Hyperlink" xfId="9162" hidden="1" builtinId="9"/>
    <cellStyle name="Followed Hyperlink" xfId="9163" hidden="1" builtinId="9"/>
    <cellStyle name="Followed Hyperlink" xfId="9164" hidden="1" builtinId="9"/>
    <cellStyle name="Followed Hyperlink" xfId="9165" hidden="1" builtinId="9"/>
    <cellStyle name="Followed Hyperlink" xfId="9166" hidden="1" builtinId="9"/>
    <cellStyle name="Followed Hyperlink" xfId="9167" hidden="1" builtinId="9"/>
    <cellStyle name="Followed Hyperlink" xfId="9168" hidden="1" builtinId="9"/>
    <cellStyle name="Followed Hyperlink" xfId="9169" hidden="1" builtinId="9"/>
    <cellStyle name="Followed Hyperlink" xfId="9170" hidden="1" builtinId="9"/>
    <cellStyle name="Followed Hyperlink" xfId="9171" hidden="1" builtinId="9"/>
    <cellStyle name="Followed Hyperlink" xfId="9172" hidden="1" builtinId="9"/>
    <cellStyle name="Followed Hyperlink" xfId="9173" hidden="1" builtinId="9"/>
    <cellStyle name="Followed Hyperlink" xfId="9174" hidden="1" builtinId="9"/>
    <cellStyle name="Followed Hyperlink" xfId="9175" hidden="1" builtinId="9"/>
    <cellStyle name="Followed Hyperlink" xfId="9176" hidden="1" builtinId="9"/>
    <cellStyle name="Followed Hyperlink" xfId="9177" hidden="1" builtinId="9"/>
    <cellStyle name="Followed Hyperlink" xfId="9178" hidden="1" builtinId="9"/>
    <cellStyle name="Followed Hyperlink" xfId="9179" hidden="1" builtinId="9"/>
    <cellStyle name="Followed Hyperlink" xfId="9180" hidden="1" builtinId="9"/>
    <cellStyle name="Followed Hyperlink" xfId="9181" hidden="1" builtinId="9"/>
    <cellStyle name="Followed Hyperlink" xfId="9182" hidden="1" builtinId="9"/>
    <cellStyle name="Followed Hyperlink" xfId="9183" hidden="1" builtinId="9"/>
    <cellStyle name="Followed Hyperlink" xfId="9184" hidden="1" builtinId="9"/>
    <cellStyle name="Followed Hyperlink" xfId="9185" hidden="1" builtinId="9"/>
    <cellStyle name="Followed Hyperlink" xfId="9186" hidden="1" builtinId="9"/>
    <cellStyle name="Followed Hyperlink" xfId="9187" hidden="1" builtinId="9"/>
    <cellStyle name="Followed Hyperlink" xfId="9188" hidden="1" builtinId="9"/>
    <cellStyle name="Followed Hyperlink" xfId="9189" hidden="1" builtinId="9"/>
    <cellStyle name="Followed Hyperlink" xfId="9190" hidden="1" builtinId="9"/>
    <cellStyle name="Followed Hyperlink" xfId="9191" hidden="1" builtinId="9"/>
    <cellStyle name="Followed Hyperlink" xfId="9192" hidden="1" builtinId="9"/>
    <cellStyle name="Followed Hyperlink" xfId="9193" hidden="1" builtinId="9"/>
    <cellStyle name="Followed Hyperlink" xfId="9194" hidden="1" builtinId="9"/>
    <cellStyle name="Followed Hyperlink" xfId="9195" hidden="1" builtinId="9"/>
    <cellStyle name="Followed Hyperlink" xfId="9196" hidden="1" builtinId="9"/>
    <cellStyle name="Followed Hyperlink" xfId="9197" hidden="1" builtinId="9"/>
    <cellStyle name="Followed Hyperlink" xfId="9198" hidden="1" builtinId="9"/>
    <cellStyle name="Followed Hyperlink" xfId="9199" hidden="1" builtinId="9"/>
    <cellStyle name="Followed Hyperlink" xfId="9200" hidden="1" builtinId="9"/>
    <cellStyle name="Followed Hyperlink" xfId="9201" hidden="1" builtinId="9"/>
    <cellStyle name="Followed Hyperlink" xfId="9202" hidden="1" builtinId="9"/>
    <cellStyle name="Followed Hyperlink" xfId="9203" hidden="1" builtinId="9"/>
    <cellStyle name="Followed Hyperlink" xfId="9204" hidden="1" builtinId="9"/>
    <cellStyle name="Followed Hyperlink" xfId="9205" hidden="1" builtinId="9"/>
    <cellStyle name="Followed Hyperlink" xfId="9206" hidden="1" builtinId="9"/>
    <cellStyle name="Followed Hyperlink" xfId="9207" hidden="1" builtinId="9"/>
    <cellStyle name="Followed Hyperlink" xfId="9208" hidden="1" builtinId="9"/>
    <cellStyle name="Followed Hyperlink" xfId="9209" hidden="1" builtinId="9"/>
    <cellStyle name="Followed Hyperlink" xfId="9210" hidden="1" builtinId="9"/>
    <cellStyle name="Followed Hyperlink" xfId="9211" hidden="1" builtinId="9"/>
    <cellStyle name="Followed Hyperlink" xfId="9212" hidden="1" builtinId="9"/>
    <cellStyle name="Followed Hyperlink" xfId="9213" hidden="1" builtinId="9"/>
    <cellStyle name="Followed Hyperlink" xfId="9214" hidden="1" builtinId="9"/>
    <cellStyle name="Followed Hyperlink" xfId="9215" hidden="1" builtinId="9"/>
    <cellStyle name="Followed Hyperlink" xfId="9216" hidden="1" builtinId="9"/>
    <cellStyle name="Followed Hyperlink" xfId="9217" hidden="1" builtinId="9"/>
    <cellStyle name="Followed Hyperlink" xfId="9218" hidden="1" builtinId="9"/>
    <cellStyle name="Followed Hyperlink" xfId="9219" hidden="1" builtinId="9"/>
    <cellStyle name="Followed Hyperlink" xfId="9220" hidden="1" builtinId="9"/>
    <cellStyle name="Followed Hyperlink" xfId="9221" hidden="1" builtinId="9"/>
    <cellStyle name="Followed Hyperlink" xfId="9222" hidden="1" builtinId="9"/>
    <cellStyle name="Followed Hyperlink" xfId="9223" hidden="1" builtinId="9"/>
    <cellStyle name="Followed Hyperlink" xfId="9224" hidden="1" builtinId="9"/>
    <cellStyle name="Followed Hyperlink" xfId="9225" hidden="1" builtinId="9"/>
    <cellStyle name="Followed Hyperlink" xfId="9226" hidden="1" builtinId="9"/>
    <cellStyle name="Followed Hyperlink" xfId="9227" hidden="1" builtinId="9"/>
    <cellStyle name="Followed Hyperlink" xfId="9228" hidden="1" builtinId="9"/>
    <cellStyle name="Followed Hyperlink" xfId="9229" hidden="1" builtinId="9"/>
    <cellStyle name="Followed Hyperlink" xfId="9230" hidden="1" builtinId="9"/>
    <cellStyle name="Followed Hyperlink" xfId="9231" hidden="1" builtinId="9"/>
    <cellStyle name="Followed Hyperlink" xfId="9232" hidden="1" builtinId="9"/>
    <cellStyle name="Followed Hyperlink" xfId="9233" hidden="1" builtinId="9"/>
    <cellStyle name="Followed Hyperlink" xfId="9234" hidden="1" builtinId="9"/>
    <cellStyle name="Followed Hyperlink" xfId="9235" hidden="1" builtinId="9"/>
    <cellStyle name="Followed Hyperlink" xfId="9236" hidden="1" builtinId="9"/>
    <cellStyle name="Followed Hyperlink" xfId="9237" hidden="1" builtinId="9"/>
    <cellStyle name="Followed Hyperlink" xfId="9238" hidden="1" builtinId="9"/>
    <cellStyle name="Followed Hyperlink" xfId="9239" hidden="1" builtinId="9"/>
    <cellStyle name="Followed Hyperlink" xfId="9240" hidden="1" builtinId="9"/>
    <cellStyle name="Followed Hyperlink" xfId="9241" hidden="1" builtinId="9"/>
    <cellStyle name="Followed Hyperlink" xfId="9242" hidden="1" builtinId="9"/>
    <cellStyle name="Followed Hyperlink" xfId="9243" hidden="1" builtinId="9"/>
    <cellStyle name="Followed Hyperlink" xfId="9244" hidden="1" builtinId="9"/>
    <cellStyle name="Followed Hyperlink" xfId="9245" hidden="1" builtinId="9"/>
    <cellStyle name="Followed Hyperlink" xfId="9246" hidden="1" builtinId="9"/>
    <cellStyle name="Followed Hyperlink" xfId="9247" hidden="1" builtinId="9"/>
    <cellStyle name="Followed Hyperlink" xfId="9248" hidden="1" builtinId="9"/>
    <cellStyle name="Followed Hyperlink" xfId="9249" hidden="1" builtinId="9"/>
    <cellStyle name="Followed Hyperlink" xfId="9250" hidden="1" builtinId="9"/>
    <cellStyle name="Followed Hyperlink" xfId="9251" hidden="1" builtinId="9"/>
    <cellStyle name="Followed Hyperlink" xfId="9252" hidden="1" builtinId="9"/>
    <cellStyle name="Followed Hyperlink" xfId="9253" hidden="1" builtinId="9"/>
    <cellStyle name="Followed Hyperlink" xfId="9254" hidden="1" builtinId="9"/>
    <cellStyle name="Followed Hyperlink" xfId="9255" hidden="1" builtinId="9"/>
    <cellStyle name="Followed Hyperlink" xfId="9256" hidden="1" builtinId="9"/>
    <cellStyle name="Followed Hyperlink" xfId="9257" hidden="1" builtinId="9"/>
    <cellStyle name="Followed Hyperlink" xfId="9258" hidden="1" builtinId="9"/>
    <cellStyle name="Followed Hyperlink" xfId="9259" hidden="1" builtinId="9"/>
    <cellStyle name="Followed Hyperlink" xfId="9260" hidden="1" builtinId="9"/>
    <cellStyle name="Followed Hyperlink" xfId="9261" hidden="1" builtinId="9"/>
    <cellStyle name="Followed Hyperlink" xfId="9262" hidden="1" builtinId="9"/>
    <cellStyle name="Followed Hyperlink" xfId="9263" hidden="1" builtinId="9"/>
    <cellStyle name="Followed Hyperlink" xfId="9264" hidden="1" builtinId="9"/>
    <cellStyle name="Followed Hyperlink" xfId="9265" hidden="1" builtinId="9"/>
    <cellStyle name="Followed Hyperlink" xfId="9266" hidden="1" builtinId="9"/>
    <cellStyle name="Followed Hyperlink" xfId="9267" hidden="1" builtinId="9"/>
    <cellStyle name="Followed Hyperlink" xfId="9268" hidden="1" builtinId="9"/>
    <cellStyle name="Followed Hyperlink" xfId="9269" hidden="1" builtinId="9"/>
    <cellStyle name="Followed Hyperlink" xfId="9270" hidden="1" builtinId="9"/>
    <cellStyle name="Followed Hyperlink" xfId="9271" hidden="1" builtinId="9"/>
    <cellStyle name="Followed Hyperlink" xfId="9272" hidden="1" builtinId="9"/>
    <cellStyle name="Followed Hyperlink" xfId="9273" hidden="1" builtinId="9"/>
    <cellStyle name="Followed Hyperlink" xfId="9274" hidden="1" builtinId="9"/>
    <cellStyle name="Followed Hyperlink" xfId="9275" hidden="1" builtinId="9"/>
    <cellStyle name="Followed Hyperlink" xfId="9276" hidden="1" builtinId="9"/>
    <cellStyle name="Followed Hyperlink" xfId="9277" hidden="1" builtinId="9"/>
    <cellStyle name="Followed Hyperlink" xfId="9278" hidden="1" builtinId="9"/>
    <cellStyle name="Followed Hyperlink" xfId="9279" hidden="1" builtinId="9"/>
    <cellStyle name="Followed Hyperlink" xfId="9280" hidden="1" builtinId="9"/>
    <cellStyle name="Followed Hyperlink" xfId="9281" hidden="1" builtinId="9"/>
    <cellStyle name="Followed Hyperlink" xfId="9282" hidden="1" builtinId="9"/>
    <cellStyle name="Followed Hyperlink" xfId="9283" hidden="1" builtinId="9"/>
    <cellStyle name="Followed Hyperlink" xfId="9284" hidden="1" builtinId="9"/>
    <cellStyle name="Followed Hyperlink" xfId="9285" hidden="1" builtinId="9"/>
    <cellStyle name="Followed Hyperlink" xfId="9286" hidden="1" builtinId="9"/>
    <cellStyle name="Followed Hyperlink" xfId="9287" hidden="1" builtinId="9"/>
    <cellStyle name="Followed Hyperlink" xfId="9288" hidden="1" builtinId="9"/>
    <cellStyle name="Followed Hyperlink" xfId="9289" hidden="1" builtinId="9"/>
    <cellStyle name="Followed Hyperlink" xfId="9290" hidden="1" builtinId="9"/>
    <cellStyle name="Followed Hyperlink" xfId="9291" hidden="1" builtinId="9"/>
    <cellStyle name="Followed Hyperlink" xfId="9292" hidden="1" builtinId="9"/>
    <cellStyle name="Followed Hyperlink" xfId="9293" hidden="1" builtinId="9"/>
    <cellStyle name="Followed Hyperlink" xfId="9294" hidden="1" builtinId="9"/>
    <cellStyle name="Followed Hyperlink" xfId="9295" hidden="1" builtinId="9"/>
    <cellStyle name="Followed Hyperlink" xfId="9296" hidden="1" builtinId="9"/>
    <cellStyle name="Followed Hyperlink" xfId="9297" hidden="1" builtinId="9"/>
    <cellStyle name="Followed Hyperlink" xfId="9298" hidden="1" builtinId="9"/>
    <cellStyle name="Followed Hyperlink" xfId="9299" hidden="1" builtinId="9"/>
    <cellStyle name="Followed Hyperlink" xfId="9300" hidden="1" builtinId="9"/>
    <cellStyle name="Followed Hyperlink" xfId="9301" hidden="1" builtinId="9"/>
    <cellStyle name="Followed Hyperlink" xfId="9302" hidden="1" builtinId="9"/>
    <cellStyle name="Followed Hyperlink" xfId="9303" hidden="1" builtinId="9"/>
    <cellStyle name="Followed Hyperlink" xfId="9304" hidden="1" builtinId="9"/>
    <cellStyle name="Followed Hyperlink" xfId="9305" hidden="1" builtinId="9"/>
    <cellStyle name="Followed Hyperlink" xfId="9306" hidden="1" builtinId="9"/>
    <cellStyle name="Followed Hyperlink" xfId="9307" hidden="1" builtinId="9"/>
    <cellStyle name="Followed Hyperlink" xfId="9308" hidden="1" builtinId="9"/>
    <cellStyle name="Followed Hyperlink" xfId="9309" hidden="1" builtinId="9"/>
    <cellStyle name="Followed Hyperlink" xfId="9310" hidden="1" builtinId="9"/>
    <cellStyle name="Followed Hyperlink" xfId="9311" hidden="1" builtinId="9"/>
    <cellStyle name="Followed Hyperlink" xfId="9312" hidden="1" builtinId="9"/>
    <cellStyle name="Followed Hyperlink" xfId="9313" hidden="1" builtinId="9"/>
    <cellStyle name="Followed Hyperlink" xfId="9314" hidden="1" builtinId="9"/>
    <cellStyle name="Followed Hyperlink" xfId="9315" hidden="1" builtinId="9"/>
    <cellStyle name="Followed Hyperlink" xfId="9316" hidden="1" builtinId="9"/>
    <cellStyle name="Followed Hyperlink" xfId="9317" hidden="1" builtinId="9"/>
    <cellStyle name="Followed Hyperlink" xfId="9318" hidden="1" builtinId="9"/>
    <cellStyle name="Followed Hyperlink" xfId="9319" hidden="1" builtinId="9"/>
    <cellStyle name="Followed Hyperlink" xfId="9320" hidden="1" builtinId="9"/>
    <cellStyle name="Followed Hyperlink" xfId="9321" hidden="1" builtinId="9"/>
    <cellStyle name="Followed Hyperlink" xfId="9322" hidden="1" builtinId="9"/>
    <cellStyle name="Followed Hyperlink" xfId="9323" hidden="1" builtinId="9"/>
    <cellStyle name="Followed Hyperlink" xfId="9324" hidden="1" builtinId="9"/>
    <cellStyle name="Followed Hyperlink" xfId="9325" hidden="1" builtinId="9"/>
    <cellStyle name="Followed Hyperlink" xfId="9326" hidden="1" builtinId="9"/>
    <cellStyle name="Followed Hyperlink" xfId="9327" hidden="1" builtinId="9"/>
    <cellStyle name="Followed Hyperlink" xfId="9328" hidden="1" builtinId="9"/>
    <cellStyle name="Followed Hyperlink" xfId="9329" hidden="1" builtinId="9"/>
    <cellStyle name="Followed Hyperlink" xfId="9330" hidden="1" builtinId="9"/>
    <cellStyle name="Followed Hyperlink" xfId="9331" hidden="1" builtinId="9"/>
    <cellStyle name="Followed Hyperlink" xfId="9332" hidden="1" builtinId="9"/>
    <cellStyle name="Followed Hyperlink" xfId="9333" hidden="1" builtinId="9"/>
    <cellStyle name="Followed Hyperlink" xfId="9334" hidden="1" builtinId="9"/>
    <cellStyle name="Followed Hyperlink" xfId="9335" hidden="1" builtinId="9"/>
    <cellStyle name="Followed Hyperlink" xfId="9336" hidden="1" builtinId="9"/>
    <cellStyle name="Followed Hyperlink" xfId="9337" hidden="1" builtinId="9"/>
    <cellStyle name="Followed Hyperlink" xfId="9338" hidden="1" builtinId="9"/>
    <cellStyle name="Followed Hyperlink" xfId="9339" hidden="1" builtinId="9"/>
    <cellStyle name="Followed Hyperlink" xfId="9340" hidden="1" builtinId="9"/>
    <cellStyle name="Followed Hyperlink" xfId="9341" hidden="1" builtinId="9"/>
    <cellStyle name="Followed Hyperlink" xfId="9342" hidden="1" builtinId="9"/>
    <cellStyle name="Followed Hyperlink" xfId="9343" hidden="1" builtinId="9"/>
    <cellStyle name="Followed Hyperlink" xfId="9344" hidden="1" builtinId="9"/>
    <cellStyle name="Followed Hyperlink" xfId="9345" hidden="1" builtinId="9"/>
    <cellStyle name="Followed Hyperlink" xfId="9346" hidden="1" builtinId="9"/>
    <cellStyle name="Followed Hyperlink" xfId="9347" hidden="1" builtinId="9"/>
    <cellStyle name="Followed Hyperlink" xfId="9348" hidden="1" builtinId="9"/>
    <cellStyle name="Followed Hyperlink" xfId="9349" hidden="1" builtinId="9"/>
    <cellStyle name="Followed Hyperlink" xfId="9350" hidden="1" builtinId="9"/>
    <cellStyle name="Followed Hyperlink" xfId="9351" hidden="1" builtinId="9"/>
    <cellStyle name="Followed Hyperlink" xfId="9352" hidden="1" builtinId="9"/>
    <cellStyle name="Followed Hyperlink" xfId="9353" hidden="1" builtinId="9"/>
    <cellStyle name="Followed Hyperlink" xfId="9354" hidden="1" builtinId="9"/>
    <cellStyle name="Followed Hyperlink" xfId="9355" hidden="1" builtinId="9"/>
    <cellStyle name="Followed Hyperlink" xfId="9356" hidden="1" builtinId="9"/>
    <cellStyle name="Followed Hyperlink" xfId="9357" hidden="1" builtinId="9"/>
    <cellStyle name="Followed Hyperlink" xfId="9358" hidden="1" builtinId="9"/>
    <cellStyle name="Followed Hyperlink" xfId="9359" hidden="1" builtinId="9"/>
    <cellStyle name="Followed Hyperlink" xfId="9360" hidden="1" builtinId="9"/>
    <cellStyle name="Followed Hyperlink" xfId="9361" hidden="1" builtinId="9"/>
    <cellStyle name="Followed Hyperlink" xfId="9362" hidden="1" builtinId="9"/>
    <cellStyle name="Followed Hyperlink" xfId="9363" hidden="1" builtinId="9"/>
    <cellStyle name="Followed Hyperlink" xfId="9364" hidden="1" builtinId="9"/>
    <cellStyle name="Followed Hyperlink" xfId="9365" hidden="1" builtinId="9"/>
    <cellStyle name="Followed Hyperlink" xfId="9366" hidden="1" builtinId="9"/>
    <cellStyle name="Followed Hyperlink" xfId="9367" hidden="1" builtinId="9"/>
    <cellStyle name="Followed Hyperlink" xfId="9368" hidden="1" builtinId="9"/>
    <cellStyle name="Followed Hyperlink" xfId="9369" hidden="1" builtinId="9"/>
    <cellStyle name="Followed Hyperlink" xfId="9370" hidden="1" builtinId="9"/>
    <cellStyle name="Followed Hyperlink" xfId="9371" hidden="1" builtinId="9"/>
    <cellStyle name="Followed Hyperlink" xfId="9372" hidden="1" builtinId="9"/>
    <cellStyle name="Followed Hyperlink" xfId="9373" hidden="1" builtinId="9"/>
    <cellStyle name="Followed Hyperlink" xfId="9374" hidden="1" builtinId="9"/>
    <cellStyle name="Followed Hyperlink" xfId="9375" hidden="1" builtinId="9"/>
    <cellStyle name="Followed Hyperlink" xfId="9376" hidden="1" builtinId="9"/>
    <cellStyle name="Followed Hyperlink" xfId="9377" hidden="1" builtinId="9"/>
    <cellStyle name="Followed Hyperlink" xfId="9378" hidden="1" builtinId="9"/>
    <cellStyle name="Followed Hyperlink" xfId="9379" hidden="1" builtinId="9"/>
    <cellStyle name="Followed Hyperlink" xfId="9380" hidden="1" builtinId="9"/>
    <cellStyle name="Followed Hyperlink" xfId="9381" hidden="1" builtinId="9"/>
    <cellStyle name="Followed Hyperlink" xfId="9382" hidden="1" builtinId="9"/>
    <cellStyle name="Followed Hyperlink" xfId="9383" hidden="1" builtinId="9"/>
    <cellStyle name="Followed Hyperlink" xfId="9384" hidden="1" builtinId="9"/>
    <cellStyle name="Followed Hyperlink" xfId="9385" hidden="1" builtinId="9"/>
    <cellStyle name="Followed Hyperlink" xfId="9386" hidden="1" builtinId="9"/>
    <cellStyle name="Followed Hyperlink" xfId="9387" hidden="1" builtinId="9"/>
    <cellStyle name="Followed Hyperlink" xfId="9388" hidden="1" builtinId="9"/>
    <cellStyle name="Followed Hyperlink" xfId="9389" hidden="1" builtinId="9"/>
    <cellStyle name="Followed Hyperlink" xfId="9390" hidden="1" builtinId="9"/>
    <cellStyle name="Followed Hyperlink" xfId="9391" hidden="1" builtinId="9"/>
    <cellStyle name="Followed Hyperlink" xfId="9392" hidden="1" builtinId="9"/>
    <cellStyle name="Followed Hyperlink" xfId="9393" hidden="1" builtinId="9"/>
    <cellStyle name="Followed Hyperlink" xfId="9394" hidden="1" builtinId="9"/>
    <cellStyle name="Followed Hyperlink" xfId="9395" hidden="1" builtinId="9"/>
    <cellStyle name="Followed Hyperlink" xfId="9396" hidden="1" builtinId="9"/>
    <cellStyle name="Followed Hyperlink" xfId="9397" hidden="1" builtinId="9"/>
    <cellStyle name="Followed Hyperlink" xfId="9398" hidden="1" builtinId="9"/>
    <cellStyle name="Followed Hyperlink" xfId="9399" hidden="1" builtinId="9"/>
    <cellStyle name="Followed Hyperlink" xfId="9400" hidden="1" builtinId="9"/>
    <cellStyle name="Followed Hyperlink" xfId="9401" hidden="1" builtinId="9"/>
    <cellStyle name="Followed Hyperlink" xfId="9402" hidden="1" builtinId="9"/>
    <cellStyle name="Followed Hyperlink" xfId="9403" hidden="1" builtinId="9"/>
    <cellStyle name="Followed Hyperlink" xfId="9404" hidden="1" builtinId="9"/>
    <cellStyle name="Followed Hyperlink" xfId="9405" hidden="1" builtinId="9"/>
    <cellStyle name="Followed Hyperlink" xfId="9406" hidden="1" builtinId="9"/>
    <cellStyle name="Followed Hyperlink" xfId="9407" hidden="1" builtinId="9"/>
    <cellStyle name="Followed Hyperlink" xfId="9408" hidden="1" builtinId="9"/>
    <cellStyle name="Followed Hyperlink" xfId="9409" hidden="1" builtinId="9"/>
    <cellStyle name="Followed Hyperlink" xfId="9410" hidden="1" builtinId="9"/>
    <cellStyle name="Followed Hyperlink" xfId="9411" hidden="1" builtinId="9"/>
    <cellStyle name="Followed Hyperlink" xfId="9412" hidden="1" builtinId="9"/>
    <cellStyle name="Followed Hyperlink" xfId="9413" hidden="1" builtinId="9"/>
    <cellStyle name="Followed Hyperlink" xfId="9414" hidden="1" builtinId="9"/>
    <cellStyle name="Followed Hyperlink" xfId="9415" hidden="1" builtinId="9"/>
    <cellStyle name="Followed Hyperlink" xfId="9416" hidden="1" builtinId="9"/>
    <cellStyle name="Followed Hyperlink" xfId="9417" hidden="1" builtinId="9"/>
    <cellStyle name="Followed Hyperlink" xfId="9418" hidden="1" builtinId="9"/>
    <cellStyle name="Followed Hyperlink" xfId="9419" hidden="1" builtinId="9"/>
    <cellStyle name="Followed Hyperlink" xfId="9420" hidden="1" builtinId="9"/>
    <cellStyle name="Followed Hyperlink" xfId="9421" hidden="1" builtinId="9"/>
    <cellStyle name="Followed Hyperlink" xfId="9422" hidden="1" builtinId="9"/>
    <cellStyle name="Followed Hyperlink" xfId="9423" hidden="1" builtinId="9"/>
    <cellStyle name="Followed Hyperlink" xfId="9424" hidden="1" builtinId="9"/>
    <cellStyle name="Followed Hyperlink" xfId="9425" hidden="1" builtinId="9"/>
    <cellStyle name="Followed Hyperlink" xfId="9426" hidden="1" builtinId="9"/>
    <cellStyle name="Followed Hyperlink" xfId="9427" hidden="1" builtinId="9"/>
    <cellStyle name="Followed Hyperlink" xfId="9428" hidden="1" builtinId="9"/>
    <cellStyle name="Followed Hyperlink" xfId="9429" hidden="1" builtinId="9"/>
    <cellStyle name="Followed Hyperlink" xfId="9430" hidden="1" builtinId="9"/>
    <cellStyle name="Followed Hyperlink" xfId="9431" hidden="1" builtinId="9"/>
    <cellStyle name="Followed Hyperlink" xfId="9432" hidden="1" builtinId="9"/>
    <cellStyle name="Followed Hyperlink" xfId="9433" hidden="1" builtinId="9"/>
    <cellStyle name="Followed Hyperlink" xfId="9434" hidden="1" builtinId="9"/>
    <cellStyle name="Followed Hyperlink" xfId="9435" hidden="1" builtinId="9"/>
    <cellStyle name="Followed Hyperlink" xfId="9436" hidden="1" builtinId="9"/>
    <cellStyle name="Followed Hyperlink" xfId="9437" hidden="1" builtinId="9"/>
    <cellStyle name="Followed Hyperlink" xfId="9438" hidden="1" builtinId="9"/>
    <cellStyle name="Followed Hyperlink" xfId="9439" hidden="1" builtinId="9"/>
    <cellStyle name="Followed Hyperlink" xfId="9440" hidden="1" builtinId="9"/>
    <cellStyle name="Followed Hyperlink" xfId="9441" hidden="1" builtinId="9"/>
    <cellStyle name="Followed Hyperlink" xfId="9442" hidden="1" builtinId="9"/>
    <cellStyle name="Followed Hyperlink" xfId="9443" hidden="1" builtinId="9"/>
    <cellStyle name="Followed Hyperlink" xfId="9444" hidden="1" builtinId="9"/>
    <cellStyle name="Followed Hyperlink" xfId="9445" hidden="1" builtinId="9"/>
    <cellStyle name="Followed Hyperlink" xfId="9446" hidden="1" builtinId="9"/>
    <cellStyle name="Followed Hyperlink" xfId="9447" hidden="1" builtinId="9"/>
    <cellStyle name="Followed Hyperlink" xfId="9448" hidden="1" builtinId="9"/>
    <cellStyle name="Followed Hyperlink" xfId="9449" hidden="1" builtinId="9"/>
    <cellStyle name="Followed Hyperlink" xfId="9450" hidden="1" builtinId="9"/>
    <cellStyle name="Followed Hyperlink" xfId="9451" hidden="1" builtinId="9"/>
    <cellStyle name="Followed Hyperlink" xfId="9452" hidden="1" builtinId="9"/>
    <cellStyle name="Followed Hyperlink" xfId="9453" hidden="1" builtinId="9"/>
    <cellStyle name="Followed Hyperlink" xfId="9454" hidden="1" builtinId="9"/>
    <cellStyle name="Followed Hyperlink" xfId="9455" hidden="1" builtinId="9"/>
    <cellStyle name="Followed Hyperlink" xfId="9456" hidden="1" builtinId="9"/>
    <cellStyle name="Followed Hyperlink" xfId="9457" hidden="1" builtinId="9"/>
    <cellStyle name="Followed Hyperlink" xfId="9458" hidden="1" builtinId="9"/>
    <cellStyle name="Followed Hyperlink" xfId="9459" hidden="1" builtinId="9"/>
    <cellStyle name="Followed Hyperlink" xfId="9460" hidden="1" builtinId="9"/>
    <cellStyle name="Followed Hyperlink" xfId="9461" hidden="1" builtinId="9"/>
    <cellStyle name="Followed Hyperlink" xfId="9462" hidden="1" builtinId="9"/>
    <cellStyle name="Followed Hyperlink" xfId="9463" hidden="1" builtinId="9"/>
    <cellStyle name="Followed Hyperlink" xfId="9464" hidden="1" builtinId="9"/>
    <cellStyle name="Followed Hyperlink" xfId="9465" hidden="1" builtinId="9"/>
    <cellStyle name="Followed Hyperlink" xfId="9466" hidden="1" builtinId="9"/>
    <cellStyle name="Followed Hyperlink" xfId="9467" hidden="1" builtinId="9"/>
    <cellStyle name="Followed Hyperlink" xfId="9468" hidden="1" builtinId="9"/>
    <cellStyle name="Followed Hyperlink" xfId="9469" hidden="1" builtinId="9"/>
    <cellStyle name="Followed Hyperlink" xfId="9470" hidden="1" builtinId="9"/>
    <cellStyle name="Followed Hyperlink" xfId="9471" hidden="1" builtinId="9"/>
    <cellStyle name="Followed Hyperlink" xfId="9472" hidden="1" builtinId="9"/>
    <cellStyle name="Followed Hyperlink" xfId="9473" hidden="1" builtinId="9"/>
    <cellStyle name="Followed Hyperlink" xfId="9474" hidden="1" builtinId="9"/>
    <cellStyle name="Followed Hyperlink" xfId="9475" hidden="1" builtinId="9"/>
    <cellStyle name="Followed Hyperlink" xfId="9476" hidden="1" builtinId="9"/>
    <cellStyle name="Followed Hyperlink" xfId="9477" hidden="1" builtinId="9"/>
    <cellStyle name="Followed Hyperlink" xfId="9478" hidden="1" builtinId="9"/>
    <cellStyle name="Followed Hyperlink" xfId="9479" hidden="1" builtinId="9"/>
    <cellStyle name="Followed Hyperlink" xfId="9480" hidden="1" builtinId="9"/>
    <cellStyle name="Followed Hyperlink" xfId="9481" hidden="1" builtinId="9"/>
    <cellStyle name="Followed Hyperlink" xfId="9482" hidden="1" builtinId="9"/>
    <cellStyle name="Followed Hyperlink" xfId="9483" hidden="1" builtinId="9"/>
    <cellStyle name="Followed Hyperlink" xfId="9484" hidden="1" builtinId="9"/>
    <cellStyle name="Followed Hyperlink" xfId="9485" hidden="1" builtinId="9"/>
    <cellStyle name="Followed Hyperlink" xfId="9486" hidden="1" builtinId="9"/>
    <cellStyle name="Followed Hyperlink" xfId="9487" hidden="1" builtinId="9"/>
    <cellStyle name="Followed Hyperlink" xfId="9488" hidden="1" builtinId="9"/>
    <cellStyle name="Followed Hyperlink" xfId="9489" hidden="1" builtinId="9"/>
    <cellStyle name="Followed Hyperlink" xfId="9490" hidden="1" builtinId="9"/>
    <cellStyle name="Followed Hyperlink" xfId="9491" hidden="1" builtinId="9"/>
    <cellStyle name="Followed Hyperlink" xfId="9492" hidden="1" builtinId="9"/>
    <cellStyle name="Followed Hyperlink" xfId="9493" hidden="1" builtinId="9"/>
    <cellStyle name="Followed Hyperlink" xfId="9494" hidden="1" builtinId="9"/>
    <cellStyle name="Followed Hyperlink" xfId="9495" hidden="1" builtinId="9"/>
    <cellStyle name="Followed Hyperlink" xfId="9496" hidden="1" builtinId="9"/>
    <cellStyle name="Followed Hyperlink" xfId="9497" hidden="1" builtinId="9"/>
    <cellStyle name="Followed Hyperlink" xfId="9498" hidden="1" builtinId="9"/>
    <cellStyle name="Followed Hyperlink" xfId="9499" hidden="1" builtinId="9"/>
    <cellStyle name="Followed Hyperlink" xfId="9500" hidden="1" builtinId="9"/>
    <cellStyle name="Followed Hyperlink" xfId="9501" hidden="1" builtinId="9"/>
    <cellStyle name="Followed Hyperlink" xfId="9502" hidden="1" builtinId="9"/>
    <cellStyle name="Followed Hyperlink" xfId="9503" hidden="1" builtinId="9"/>
    <cellStyle name="Followed Hyperlink" xfId="9504" hidden="1" builtinId="9"/>
    <cellStyle name="Followed Hyperlink" xfId="9505" hidden="1" builtinId="9"/>
    <cellStyle name="Followed Hyperlink" xfId="9506" hidden="1" builtinId="9"/>
    <cellStyle name="Followed Hyperlink" xfId="9507" hidden="1" builtinId="9"/>
    <cellStyle name="Followed Hyperlink" xfId="9508" hidden="1" builtinId="9"/>
    <cellStyle name="Followed Hyperlink" xfId="9509" hidden="1" builtinId="9"/>
    <cellStyle name="Followed Hyperlink" xfId="9510" hidden="1" builtinId="9"/>
    <cellStyle name="Followed Hyperlink" xfId="9511" hidden="1" builtinId="9"/>
    <cellStyle name="Followed Hyperlink" xfId="9512" hidden="1" builtinId="9"/>
    <cellStyle name="Followed Hyperlink" xfId="9513" hidden="1" builtinId="9"/>
    <cellStyle name="Followed Hyperlink" xfId="9514" hidden="1" builtinId="9"/>
    <cellStyle name="Followed Hyperlink" xfId="9515" hidden="1" builtinId="9"/>
    <cellStyle name="Followed Hyperlink" xfId="9516" hidden="1" builtinId="9"/>
    <cellStyle name="Followed Hyperlink" xfId="9517" hidden="1" builtinId="9"/>
    <cellStyle name="Followed Hyperlink" xfId="9518" hidden="1" builtinId="9"/>
    <cellStyle name="Followed Hyperlink" xfId="9519" hidden="1" builtinId="9"/>
    <cellStyle name="Followed Hyperlink" xfId="9520" hidden="1" builtinId="9"/>
    <cellStyle name="Followed Hyperlink" xfId="9521" hidden="1" builtinId="9"/>
    <cellStyle name="Followed Hyperlink" xfId="9522" hidden="1" builtinId="9"/>
    <cellStyle name="Followed Hyperlink" xfId="9523" hidden="1" builtinId="9"/>
    <cellStyle name="Followed Hyperlink" xfId="9524" hidden="1" builtinId="9"/>
    <cellStyle name="Followed Hyperlink" xfId="9525" hidden="1" builtinId="9"/>
    <cellStyle name="Followed Hyperlink" xfId="9526" hidden="1" builtinId="9"/>
    <cellStyle name="Followed Hyperlink" xfId="9527" hidden="1" builtinId="9"/>
    <cellStyle name="Followed Hyperlink" xfId="9528" hidden="1" builtinId="9"/>
    <cellStyle name="Followed Hyperlink" xfId="9529" hidden="1" builtinId="9"/>
    <cellStyle name="Followed Hyperlink" xfId="9530" hidden="1" builtinId="9"/>
    <cellStyle name="Followed Hyperlink" xfId="9531" hidden="1" builtinId="9"/>
    <cellStyle name="Followed Hyperlink" xfId="9532" hidden="1" builtinId="9"/>
    <cellStyle name="Followed Hyperlink" xfId="9533" hidden="1" builtinId="9"/>
    <cellStyle name="Followed Hyperlink" xfId="9534" hidden="1" builtinId="9"/>
    <cellStyle name="Followed Hyperlink" xfId="9535" hidden="1" builtinId="9"/>
    <cellStyle name="Followed Hyperlink" xfId="9536" hidden="1" builtinId="9"/>
    <cellStyle name="Followed Hyperlink" xfId="9537" hidden="1" builtinId="9"/>
    <cellStyle name="Followed Hyperlink" xfId="9538" hidden="1" builtinId="9"/>
    <cellStyle name="Followed Hyperlink" xfId="9539" hidden="1" builtinId="9"/>
    <cellStyle name="Followed Hyperlink" xfId="9540" hidden="1" builtinId="9"/>
    <cellStyle name="Followed Hyperlink" xfId="9541" hidden="1" builtinId="9"/>
    <cellStyle name="Followed Hyperlink" xfId="9542" hidden="1" builtinId="9"/>
    <cellStyle name="Followed Hyperlink" xfId="9543" hidden="1" builtinId="9"/>
    <cellStyle name="Followed Hyperlink" xfId="9544" hidden="1" builtinId="9"/>
    <cellStyle name="Followed Hyperlink" xfId="9545" hidden="1" builtinId="9"/>
    <cellStyle name="Followed Hyperlink" xfId="9546" hidden="1" builtinId="9"/>
    <cellStyle name="Followed Hyperlink" xfId="9547" hidden="1" builtinId="9"/>
    <cellStyle name="Followed Hyperlink" xfId="9548" hidden="1" builtinId="9"/>
    <cellStyle name="Followed Hyperlink" xfId="9549" hidden="1" builtinId="9"/>
    <cellStyle name="Followed Hyperlink" xfId="9550" hidden="1" builtinId="9"/>
    <cellStyle name="Followed Hyperlink" xfId="9551" hidden="1" builtinId="9"/>
    <cellStyle name="Followed Hyperlink" xfId="9552" hidden="1" builtinId="9"/>
    <cellStyle name="Followed Hyperlink" xfId="9553" hidden="1" builtinId="9"/>
    <cellStyle name="Followed Hyperlink" xfId="9554" hidden="1" builtinId="9"/>
    <cellStyle name="Followed Hyperlink" xfId="9555" hidden="1" builtinId="9"/>
    <cellStyle name="Followed Hyperlink" xfId="9556" hidden="1" builtinId="9"/>
    <cellStyle name="Followed Hyperlink" xfId="9557" hidden="1" builtinId="9"/>
    <cellStyle name="Followed Hyperlink" xfId="9558" hidden="1" builtinId="9"/>
    <cellStyle name="Followed Hyperlink" xfId="9559" hidden="1" builtinId="9"/>
    <cellStyle name="Followed Hyperlink" xfId="9560" hidden="1" builtinId="9"/>
    <cellStyle name="Followed Hyperlink" xfId="9561" hidden="1" builtinId="9"/>
    <cellStyle name="Followed Hyperlink" xfId="9562" hidden="1" builtinId="9"/>
    <cellStyle name="Followed Hyperlink" xfId="9563" hidden="1" builtinId="9"/>
    <cellStyle name="Followed Hyperlink" xfId="9564" hidden="1" builtinId="9"/>
    <cellStyle name="Followed Hyperlink" xfId="9565" hidden="1" builtinId="9"/>
    <cellStyle name="Followed Hyperlink" xfId="9566" hidden="1" builtinId="9"/>
    <cellStyle name="Followed Hyperlink" xfId="9567" hidden="1" builtinId="9"/>
    <cellStyle name="Followed Hyperlink" xfId="9568" hidden="1" builtinId="9"/>
    <cellStyle name="Followed Hyperlink" xfId="9569" hidden="1" builtinId="9"/>
    <cellStyle name="Followed Hyperlink" xfId="9570" hidden="1" builtinId="9"/>
    <cellStyle name="Followed Hyperlink" xfId="9571" hidden="1" builtinId="9"/>
    <cellStyle name="Followed Hyperlink" xfId="9572" hidden="1" builtinId="9"/>
    <cellStyle name="Followed Hyperlink" xfId="9573" hidden="1" builtinId="9"/>
    <cellStyle name="Followed Hyperlink" xfId="9574" hidden="1" builtinId="9"/>
    <cellStyle name="Followed Hyperlink" xfId="9575" hidden="1" builtinId="9"/>
    <cellStyle name="Followed Hyperlink" xfId="9576" hidden="1" builtinId="9"/>
    <cellStyle name="Followed Hyperlink" xfId="9577" hidden="1" builtinId="9"/>
    <cellStyle name="Followed Hyperlink" xfId="9578" hidden="1" builtinId="9"/>
    <cellStyle name="Followed Hyperlink" xfId="9579" hidden="1" builtinId="9"/>
    <cellStyle name="Followed Hyperlink" xfId="9580" hidden="1" builtinId="9"/>
    <cellStyle name="Followed Hyperlink" xfId="9581" hidden="1" builtinId="9"/>
    <cellStyle name="Followed Hyperlink" xfId="9582" hidden="1" builtinId="9"/>
    <cellStyle name="Followed Hyperlink" xfId="9583" hidden="1" builtinId="9"/>
    <cellStyle name="Followed Hyperlink" xfId="9584" hidden="1" builtinId="9"/>
    <cellStyle name="Followed Hyperlink" xfId="9585" hidden="1" builtinId="9"/>
    <cellStyle name="Followed Hyperlink" xfId="9586" hidden="1" builtinId="9"/>
    <cellStyle name="Followed Hyperlink" xfId="9587" hidden="1" builtinId="9"/>
    <cellStyle name="Followed Hyperlink" xfId="9588" hidden="1" builtinId="9"/>
    <cellStyle name="Followed Hyperlink" xfId="9589" hidden="1" builtinId="9"/>
    <cellStyle name="Followed Hyperlink" xfId="9590" hidden="1" builtinId="9"/>
    <cellStyle name="Followed Hyperlink" xfId="9591" hidden="1" builtinId="9"/>
    <cellStyle name="Followed Hyperlink" xfId="9592" hidden="1" builtinId="9"/>
    <cellStyle name="Followed Hyperlink" xfId="9593" hidden="1" builtinId="9"/>
    <cellStyle name="Followed Hyperlink" xfId="9594" hidden="1" builtinId="9"/>
    <cellStyle name="Followed Hyperlink" xfId="9595" hidden="1" builtinId="9"/>
    <cellStyle name="Followed Hyperlink" xfId="9596" hidden="1" builtinId="9"/>
    <cellStyle name="Followed Hyperlink" xfId="9597" hidden="1" builtinId="9"/>
    <cellStyle name="Followed Hyperlink" xfId="9598" hidden="1" builtinId="9"/>
    <cellStyle name="Followed Hyperlink" xfId="9599" hidden="1" builtinId="9"/>
    <cellStyle name="Followed Hyperlink" xfId="9600" hidden="1" builtinId="9"/>
    <cellStyle name="Followed Hyperlink" xfId="9601" hidden="1" builtinId="9"/>
    <cellStyle name="Followed Hyperlink" xfId="9602" hidden="1" builtinId="9"/>
    <cellStyle name="Followed Hyperlink" xfId="9603" hidden="1" builtinId="9"/>
    <cellStyle name="Followed Hyperlink" xfId="9604" hidden="1" builtinId="9"/>
    <cellStyle name="Followed Hyperlink" xfId="9605" hidden="1" builtinId="9"/>
    <cellStyle name="Followed Hyperlink" xfId="9606" hidden="1" builtinId="9"/>
    <cellStyle name="Followed Hyperlink" xfId="9607" hidden="1" builtinId="9"/>
    <cellStyle name="Followed Hyperlink" xfId="9608" hidden="1" builtinId="9"/>
    <cellStyle name="Followed Hyperlink" xfId="9609" hidden="1" builtinId="9"/>
    <cellStyle name="Followed Hyperlink" xfId="9610" hidden="1" builtinId="9"/>
    <cellStyle name="Followed Hyperlink" xfId="9611" hidden="1" builtinId="9"/>
    <cellStyle name="Followed Hyperlink" xfId="9612" hidden="1" builtinId="9"/>
    <cellStyle name="Followed Hyperlink" xfId="9613" hidden="1" builtinId="9"/>
    <cellStyle name="Followed Hyperlink" xfId="9614" hidden="1" builtinId="9"/>
    <cellStyle name="Followed Hyperlink" xfId="9615" hidden="1" builtinId="9"/>
    <cellStyle name="Followed Hyperlink" xfId="9616" hidden="1" builtinId="9"/>
    <cellStyle name="Followed Hyperlink" xfId="9617" hidden="1" builtinId="9"/>
    <cellStyle name="Followed Hyperlink" xfId="9618" hidden="1" builtinId="9"/>
    <cellStyle name="Followed Hyperlink" xfId="9619" hidden="1" builtinId="9"/>
    <cellStyle name="Followed Hyperlink" xfId="9620" hidden="1" builtinId="9"/>
    <cellStyle name="Followed Hyperlink" xfId="9621" hidden="1" builtinId="9"/>
    <cellStyle name="Followed Hyperlink" xfId="9622" hidden="1" builtinId="9"/>
    <cellStyle name="Followed Hyperlink" xfId="9623" hidden="1" builtinId="9"/>
    <cellStyle name="Followed Hyperlink" xfId="9624" hidden="1" builtinId="9"/>
    <cellStyle name="Followed Hyperlink" xfId="9625" hidden="1" builtinId="9"/>
    <cellStyle name="Followed Hyperlink" xfId="9626" hidden="1" builtinId="9"/>
    <cellStyle name="Followed Hyperlink" xfId="9627" hidden="1" builtinId="9"/>
    <cellStyle name="Followed Hyperlink" xfId="9628" hidden="1" builtinId="9"/>
    <cellStyle name="Followed Hyperlink" xfId="9629" hidden="1" builtinId="9"/>
    <cellStyle name="Followed Hyperlink" xfId="9630" hidden="1" builtinId="9"/>
    <cellStyle name="Followed Hyperlink" xfId="9631" hidden="1" builtinId="9"/>
    <cellStyle name="Followed Hyperlink" xfId="9632" hidden="1" builtinId="9"/>
    <cellStyle name="Followed Hyperlink" xfId="9633" hidden="1" builtinId="9"/>
    <cellStyle name="Followed Hyperlink" xfId="9634" hidden="1" builtinId="9"/>
    <cellStyle name="Followed Hyperlink" xfId="9635" hidden="1" builtinId="9"/>
    <cellStyle name="Followed Hyperlink" xfId="9636" hidden="1" builtinId="9"/>
    <cellStyle name="Followed Hyperlink" xfId="9637" hidden="1" builtinId="9"/>
    <cellStyle name="Followed Hyperlink" xfId="9638" hidden="1" builtinId="9"/>
    <cellStyle name="Followed Hyperlink" xfId="9639" hidden="1" builtinId="9"/>
    <cellStyle name="Followed Hyperlink" xfId="9640" hidden="1" builtinId="9"/>
    <cellStyle name="Followed Hyperlink" xfId="9641" hidden="1" builtinId="9"/>
    <cellStyle name="Followed Hyperlink" xfId="9642" hidden="1" builtinId="9"/>
    <cellStyle name="Followed Hyperlink" xfId="9643" hidden="1" builtinId="9"/>
    <cellStyle name="Followed Hyperlink" xfId="9644" hidden="1" builtinId="9"/>
    <cellStyle name="Followed Hyperlink" xfId="9645" hidden="1" builtinId="9"/>
    <cellStyle name="Followed Hyperlink" xfId="9646" hidden="1" builtinId="9"/>
    <cellStyle name="Followed Hyperlink" xfId="9647" hidden="1" builtinId="9"/>
    <cellStyle name="Followed Hyperlink" xfId="9648" hidden="1" builtinId="9"/>
    <cellStyle name="Followed Hyperlink" xfId="9649" hidden="1" builtinId="9"/>
    <cellStyle name="Followed Hyperlink" xfId="9650" hidden="1" builtinId="9"/>
    <cellStyle name="Followed Hyperlink" xfId="9651" hidden="1" builtinId="9"/>
    <cellStyle name="Followed Hyperlink" xfId="9652" hidden="1" builtinId="9"/>
    <cellStyle name="Followed Hyperlink" xfId="9653" hidden="1" builtinId="9"/>
    <cellStyle name="Followed Hyperlink" xfId="9654" hidden="1" builtinId="9"/>
    <cellStyle name="Followed Hyperlink" xfId="9655" hidden="1" builtinId="9"/>
    <cellStyle name="Followed Hyperlink" xfId="9656" hidden="1" builtinId="9"/>
    <cellStyle name="Followed Hyperlink" xfId="9657" hidden="1" builtinId="9"/>
    <cellStyle name="Followed Hyperlink" xfId="9658" hidden="1" builtinId="9"/>
    <cellStyle name="Followed Hyperlink" xfId="9659" hidden="1" builtinId="9"/>
    <cellStyle name="Followed Hyperlink" xfId="9660" hidden="1" builtinId="9"/>
    <cellStyle name="Followed Hyperlink" xfId="9661" hidden="1" builtinId="9"/>
    <cellStyle name="Followed Hyperlink" xfId="9662" hidden="1" builtinId="9"/>
    <cellStyle name="Followed Hyperlink" xfId="9663" hidden="1" builtinId="9"/>
    <cellStyle name="Followed Hyperlink" xfId="9664" hidden="1" builtinId="9"/>
    <cellStyle name="Followed Hyperlink" xfId="9665" hidden="1" builtinId="9"/>
    <cellStyle name="Followed Hyperlink" xfId="9666" hidden="1" builtinId="9"/>
    <cellStyle name="Followed Hyperlink" xfId="9667" hidden="1" builtinId="9"/>
    <cellStyle name="Followed Hyperlink" xfId="9668" hidden="1" builtinId="9"/>
    <cellStyle name="Followed Hyperlink" xfId="9669" hidden="1" builtinId="9"/>
    <cellStyle name="Followed Hyperlink" xfId="9670" hidden="1" builtinId="9"/>
    <cellStyle name="Followed Hyperlink" xfId="9671" hidden="1" builtinId="9"/>
    <cellStyle name="Followed Hyperlink" xfId="9672" hidden="1" builtinId="9"/>
    <cellStyle name="Followed Hyperlink" xfId="9673" hidden="1" builtinId="9"/>
    <cellStyle name="Followed Hyperlink" xfId="9674" hidden="1" builtinId="9"/>
    <cellStyle name="Followed Hyperlink" xfId="9675" hidden="1" builtinId="9"/>
    <cellStyle name="Followed Hyperlink" xfId="9676" hidden="1" builtinId="9"/>
    <cellStyle name="Followed Hyperlink" xfId="9677" hidden="1" builtinId="9"/>
    <cellStyle name="Followed Hyperlink" xfId="9678" hidden="1" builtinId="9"/>
    <cellStyle name="Followed Hyperlink" xfId="9679" hidden="1" builtinId="9"/>
    <cellStyle name="Followed Hyperlink" xfId="9680" hidden="1" builtinId="9"/>
    <cellStyle name="Followed Hyperlink" xfId="9681" hidden="1" builtinId="9"/>
    <cellStyle name="Followed Hyperlink" xfId="9682" hidden="1" builtinId="9"/>
    <cellStyle name="Followed Hyperlink" xfId="9683" hidden="1" builtinId="9"/>
    <cellStyle name="Followed Hyperlink" xfId="9684" hidden="1" builtinId="9"/>
    <cellStyle name="Followed Hyperlink" xfId="9685" hidden="1" builtinId="9"/>
    <cellStyle name="Followed Hyperlink" xfId="9686" hidden="1" builtinId="9"/>
    <cellStyle name="Followed Hyperlink" xfId="9687" hidden="1" builtinId="9"/>
    <cellStyle name="Followed Hyperlink" xfId="9688" hidden="1" builtinId="9"/>
    <cellStyle name="Followed Hyperlink" xfId="9689" hidden="1" builtinId="9"/>
    <cellStyle name="Followed Hyperlink" xfId="9690" hidden="1" builtinId="9"/>
    <cellStyle name="Followed Hyperlink" xfId="9691" hidden="1" builtinId="9"/>
    <cellStyle name="Followed Hyperlink" xfId="9692" hidden="1" builtinId="9"/>
    <cellStyle name="Followed Hyperlink" xfId="9693" hidden="1" builtinId="9"/>
    <cellStyle name="Followed Hyperlink" xfId="9694" hidden="1" builtinId="9"/>
    <cellStyle name="Followed Hyperlink" xfId="9695" hidden="1" builtinId="9"/>
    <cellStyle name="Followed Hyperlink" xfId="9696" hidden="1" builtinId="9"/>
    <cellStyle name="Followed Hyperlink" xfId="9697" hidden="1" builtinId="9"/>
    <cellStyle name="Followed Hyperlink" xfId="9698" hidden="1" builtinId="9"/>
    <cellStyle name="Followed Hyperlink" xfId="9699" hidden="1" builtinId="9"/>
    <cellStyle name="Followed Hyperlink" xfId="9700" hidden="1" builtinId="9"/>
    <cellStyle name="Followed Hyperlink" xfId="9701" hidden="1" builtinId="9"/>
    <cellStyle name="Followed Hyperlink" xfId="9702" hidden="1" builtinId="9"/>
    <cellStyle name="Followed Hyperlink" xfId="9703" hidden="1" builtinId="9"/>
    <cellStyle name="Followed Hyperlink" xfId="9704" hidden="1" builtinId="9"/>
    <cellStyle name="Followed Hyperlink" xfId="9705" hidden="1" builtinId="9"/>
    <cellStyle name="Followed Hyperlink" xfId="9706" hidden="1" builtinId="9"/>
    <cellStyle name="Followed Hyperlink" xfId="9707" hidden="1" builtinId="9"/>
    <cellStyle name="Followed Hyperlink" xfId="9708" hidden="1" builtinId="9"/>
    <cellStyle name="Followed Hyperlink" xfId="9709" hidden="1" builtinId="9"/>
    <cellStyle name="Followed Hyperlink" xfId="9710" hidden="1" builtinId="9"/>
    <cellStyle name="Followed Hyperlink" xfId="9711" hidden="1" builtinId="9"/>
    <cellStyle name="Followed Hyperlink" xfId="9712" hidden="1" builtinId="9"/>
    <cellStyle name="Followed Hyperlink" xfId="9713" hidden="1" builtinId="9"/>
    <cellStyle name="Followed Hyperlink" xfId="9714" hidden="1" builtinId="9"/>
    <cellStyle name="Followed Hyperlink" xfId="9715" hidden="1" builtinId="9"/>
    <cellStyle name="Followed Hyperlink" xfId="9716" hidden="1" builtinId="9"/>
    <cellStyle name="Followed Hyperlink" xfId="9717" hidden="1" builtinId="9"/>
    <cellStyle name="Followed Hyperlink" xfId="9718" hidden="1" builtinId="9"/>
    <cellStyle name="Followed Hyperlink" xfId="9719" hidden="1" builtinId="9"/>
    <cellStyle name="Followed Hyperlink" xfId="9720" hidden="1" builtinId="9"/>
    <cellStyle name="Followed Hyperlink" xfId="9721" hidden="1" builtinId="9"/>
    <cellStyle name="Followed Hyperlink" xfId="9722" hidden="1" builtinId="9"/>
    <cellStyle name="Followed Hyperlink" xfId="9723" hidden="1" builtinId="9"/>
    <cellStyle name="Followed Hyperlink" xfId="9724" hidden="1" builtinId="9"/>
    <cellStyle name="Followed Hyperlink" xfId="9725" hidden="1" builtinId="9"/>
    <cellStyle name="Followed Hyperlink" xfId="9726" hidden="1" builtinId="9"/>
    <cellStyle name="Followed Hyperlink" xfId="9727" hidden="1" builtinId="9"/>
    <cellStyle name="Followed Hyperlink" xfId="9728" hidden="1" builtinId="9"/>
    <cellStyle name="Followed Hyperlink" xfId="9729" hidden="1" builtinId="9"/>
    <cellStyle name="Followed Hyperlink" xfId="9730" hidden="1" builtinId="9"/>
    <cellStyle name="Followed Hyperlink" xfId="9731" hidden="1" builtinId="9"/>
    <cellStyle name="Followed Hyperlink" xfId="9732" hidden="1" builtinId="9"/>
    <cellStyle name="Followed Hyperlink" xfId="9733" hidden="1" builtinId="9"/>
    <cellStyle name="Followed Hyperlink" xfId="9734" hidden="1" builtinId="9"/>
    <cellStyle name="Followed Hyperlink" xfId="9735" hidden="1" builtinId="9"/>
    <cellStyle name="Followed Hyperlink" xfId="9736" hidden="1" builtinId="9"/>
    <cellStyle name="Followed Hyperlink" xfId="9737" hidden="1" builtinId="9"/>
    <cellStyle name="Followed Hyperlink" xfId="9738" hidden="1" builtinId="9"/>
    <cellStyle name="Followed Hyperlink" xfId="9739" hidden="1" builtinId="9"/>
    <cellStyle name="Followed Hyperlink" xfId="9740" hidden="1" builtinId="9"/>
    <cellStyle name="Followed Hyperlink" xfId="9741" hidden="1" builtinId="9"/>
    <cellStyle name="Followed Hyperlink" xfId="9742" hidden="1" builtinId="9"/>
    <cellStyle name="Followed Hyperlink" xfId="9743" hidden="1" builtinId="9"/>
    <cellStyle name="Followed Hyperlink" xfId="9744" hidden="1" builtinId="9"/>
    <cellStyle name="Followed Hyperlink" xfId="9745" hidden="1" builtinId="9"/>
    <cellStyle name="Followed Hyperlink" xfId="9746" hidden="1" builtinId="9"/>
    <cellStyle name="Followed Hyperlink" xfId="9747" hidden="1" builtinId="9"/>
    <cellStyle name="Followed Hyperlink" xfId="9748" hidden="1" builtinId="9"/>
    <cellStyle name="Followed Hyperlink" xfId="9749" hidden="1" builtinId="9"/>
    <cellStyle name="Followed Hyperlink" xfId="9750" hidden="1" builtinId="9"/>
    <cellStyle name="Followed Hyperlink" xfId="9751" hidden="1" builtinId="9"/>
    <cellStyle name="Followed Hyperlink" xfId="9752" hidden="1" builtinId="9"/>
    <cellStyle name="Followed Hyperlink" xfId="9753" hidden="1" builtinId="9"/>
    <cellStyle name="Followed Hyperlink" xfId="9754" hidden="1" builtinId="9"/>
    <cellStyle name="Followed Hyperlink" xfId="9755" hidden="1" builtinId="9"/>
    <cellStyle name="Followed Hyperlink" xfId="9756" hidden="1" builtinId="9"/>
    <cellStyle name="Followed Hyperlink" xfId="9757" hidden="1" builtinId="9"/>
    <cellStyle name="Followed Hyperlink" xfId="9758" hidden="1" builtinId="9"/>
    <cellStyle name="Followed Hyperlink" xfId="9759" hidden="1" builtinId="9"/>
    <cellStyle name="Followed Hyperlink" xfId="9760" hidden="1" builtinId="9"/>
    <cellStyle name="Calculation 2 10" xfId="9761"/>
    <cellStyle name="Heading 3 2 8" xfId="9762"/>
    <cellStyle name="Input 2 10" xfId="9763"/>
    <cellStyle name="Note 3 4" xfId="9764"/>
    <cellStyle name="Note 2 12" xfId="9765"/>
    <cellStyle name="Output 2 10" xfId="9766"/>
    <cellStyle name="Total 2 11" xfId="9767"/>
    <cellStyle name="Calculation 2 2 3" xfId="9768"/>
    <cellStyle name="Input 2 2 3" xfId="9769"/>
    <cellStyle name="Note 3 2 3" xfId="9770"/>
    <cellStyle name="Note 2 2 5" xfId="9771"/>
    <cellStyle name="Output 2 2 3" xfId="9772"/>
    <cellStyle name="Total 2 2 3" xfId="9773"/>
    <cellStyle name="Style 23 2 2 3" xfId="9774"/>
    <cellStyle name="Style 23 3 3" xfId="9775"/>
    <cellStyle name="Calculation 2 3 2" xfId="9776"/>
    <cellStyle name="Input 2 3 2" xfId="9777"/>
    <cellStyle name="Note 3 3 2" xfId="9778"/>
    <cellStyle name="Note 2 3 3" xfId="9779"/>
    <cellStyle name="Output 2 3 2" xfId="9780"/>
    <cellStyle name="Total 2 3 2" xfId="9781"/>
    <cellStyle name="Calculation 2 2 2 2" xfId="9782"/>
    <cellStyle name="Input 2 2 2 2" xfId="9783"/>
    <cellStyle name="Note 3 2 2 2" xfId="9784"/>
    <cellStyle name="Note 2 2 2 4" xfId="9785"/>
    <cellStyle name="Output 2 2 2 2" xfId="9786"/>
    <cellStyle name="Total 2 2 2 2" xfId="9787"/>
    <cellStyle name="Normal 2 49" xfId="9788"/>
  </cellStyles>
  <dxfs count="31">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
      <font>
        <color theme="0" tint="-0.34998"/>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8" Type="http://schemas.openxmlformats.org/officeDocument/2006/relationships/sharedStrings" Target="sharedStrings.xml" /><Relationship Id="rId14" Type="http://schemas.openxmlformats.org/officeDocument/2006/relationships/worksheet" Target="worksheets/sheet13.xml" /><Relationship Id="rId15" Type="http://schemas.openxmlformats.org/officeDocument/2006/relationships/worksheet" Target="worksheets/sheet14.xml" /><Relationship Id="rId16" Type="http://schemas.openxmlformats.org/officeDocument/2006/relationships/worksheet" Target="worksheets/sheet15.xml" /><Relationship Id="rId17" Type="http://schemas.openxmlformats.org/officeDocument/2006/relationships/styles" Target="style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9" Type="http://schemas.openxmlformats.org/officeDocument/2006/relationships/externalLink" Target="externalLinks/externalLink1.xml" /><Relationship Id="rId13" Type="http://schemas.openxmlformats.org/officeDocument/2006/relationships/worksheet" Target="worksheets/sheet12.xml" /><Relationship Id="rId20" Type="http://schemas.openxmlformats.org/officeDocument/2006/relationships/calcChain" Target="calcChain.xml" /></Relationships>
</file>

<file path=xl/ctrProps/ctrProp1.xml><?xml version="1.0" encoding="utf-8"?>
<formControlPr xmlns="http://schemas.microsoft.com/office/spreadsheetml/2009/9/main" objectType="CheckBox" lockText="1" noThreeD="1"/>
</file>

<file path=xl/ctrProps/ctrProp2.xml><?xml version="1.0" encoding="utf-8"?>
<formControlPr xmlns="http://schemas.microsoft.com/office/spreadsheetml/2009/9/main" objectType="CheckBox" lockText="1" noThreeD="1"/>
</file>

<file path=xl/ctrProps/ctrProp3.xml><?xml version="1.0" encoding="utf-8"?>
<formControlPr xmlns="http://schemas.microsoft.com/office/spreadsheetml/2009/9/main" objectType="CheckBox" lockText="1" noThreeD="1"/>
</file>

<file path=xl/ctrProps/ctrProp4.xml><?xml version="1.0" encoding="utf-8"?>
<formControlPr xmlns="http://schemas.microsoft.com/office/spreadsheetml/2009/9/main" objectType="CheckBox" lockText="1" noThreeD="1"/>
</file>

<file path=xl/ctrProps/ctrProp5.xml><?xml version="1.0" encoding="utf-8"?>
<formControlPr xmlns="http://schemas.microsoft.com/office/spreadsheetml/2009/9/main" objectType="CheckBox" lockText="1" noThreeD="1"/>
</file>

<file path=xl/ctrProps/ctrProp6.xml><?xml version="1.0" encoding="utf-8"?>
<formControlPr xmlns="http://schemas.microsoft.com/office/spreadsheetml/2009/9/main" objectType="CheckBox" lockText="1" noThreeD="1"/>
</file>

<file path=xl/ctrProps/ctrProp7.xml><?xml version="1.0" encoding="utf-8"?>
<formControlPr xmlns="http://schemas.microsoft.com/office/spreadsheetml/2009/9/main" objectType="CheckBox" lockText="1" noThreeD="1"/>
</file>

<file path=xl/ctrProps/ctrProp8.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1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_rels/drawing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188259</xdr:colOff>
      <xdr:row>20</xdr:row>
      <xdr:rowOff>11206</xdr:rowOff>
    </xdr:from>
    <xdr:to>
      <xdr:col>2</xdr:col>
      <xdr:colOff>7655859</xdr:colOff>
      <xdr:row>27</xdr:row>
      <xdr:rowOff>96931</xdr:rowOff>
    </xdr:to>
    <xdr:sp macro="">
      <xdr:nvSpPr>
        <xdr:cNvPr id="2" name="Text Box 50"/>
        <xdr:cNvSpPr txBox="1">
          <a:spLocks noChangeArrowheads="1"/>
        </xdr:cNvSpPr>
      </xdr:nvSpPr>
      <xdr:spPr bwMode="auto">
        <a:xfrm>
          <a:off x="190500" y="7715250"/>
          <a:ext cx="10172700" cy="1352550"/>
        </a:xfrm>
        <a:prstGeom prst="rect"/>
        <a:noFill/>
        <a:ln>
          <a:noFill/>
        </a:ln>
        <a:effectLst>
          <a:softEdge rad="31750"/>
        </a:effectLst>
      </xdr:spPr>
      <xdr:txBody>
        <a:bodyPr lIns="27432" tIns="22860" rIns="0" bIns="0" vertOverflow="clip" wrap="square" anchor="t" upright="1"/>
        <a:lstStyle/>
        <a:p>
          <a:pPr algn="l" rtl="0">
            <a:defRPr sz="1000"/>
          </a:pPr>
          <a:r>
            <a:rPr lang="en-CA" sz="1000" u="none" b="1" i="1"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endParaRPr lang="en-CA" sz="1000" u="none" b="1" i="1" baseline="0">
            <a:solidFill>
              <a:srgbClr val="000000"/>
            </a:solidFill>
            <a:latin typeface="Arial" pitchFamily="34" charset="0"/>
            <a:cs typeface="Arial" pitchFamily="34" charset="0"/>
          </a:endParaRPr>
        </a:p>
        <a:p>
          <a:pPr algn="l" defTabSz="914400" fontAlgn="auto" indent="0" marL="0" marR="0" hangingPunct="1" eaLnBrk="1" latinLnBrk="0" rtl="0">
            <a:lnSpc>
              <a:spcPct val="100000"/>
            </a:lnSpc>
            <a:spcBef>
              <a:spcPts val="0"/>
            </a:spcBef>
            <a:spcAft>
              <a:spcPts val="0"/>
            </a:spcAft>
            <a:buClrTx/>
            <a:buSzTx/>
            <a:buFontTx/>
            <a:buNone/>
            <a:defRPr sz="1000"/>
          </a:pPr>
          <a:r>
            <a:rPr lang="en-CA" sz="1000" b="1" i="1" baseline="0">
              <a:solidFill>
                <a:srgbClr val="000000"/>
              </a:solidFill>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u="none" b="1" i="1"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a:grpSpLocks/>
        </xdr:cNvGrpSpPr>
      </xdr:nvGrpSpPr>
      <xdr:grpSpPr>
        <a:xfrm>
          <a:off x="9525" y="0"/>
          <a:ext cx="10934700" cy="2362200"/>
          <a:chOff x="10997237" y="5479676"/>
          <a:chExt cx="8857420" cy="2022148"/>
        </a:xfrm>
      </xdr:grpSpPr>
      <xdr:pic>
        <xdr:nvPicPr>
          <xdr:cNvPr id="5" name="Picture 4"/>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6" name="Rectangle 5"/>
          <xdr:cNvSpPr/>
        </xdr:nvSpPr>
        <xdr:spPr>
          <a:xfrm>
            <a:off x="11215555" y="5956647"/>
            <a:ext cx="8566570" cy="1545177"/>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668151"/>
            <a:ext cx="389282" cy="37814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8" name="Rectangle 7"/>
          <xdr:cNvSpPr/>
        </xdr:nvSpPr>
        <xdr:spPr>
          <a:xfrm>
            <a:off x="11516930" y="5637897"/>
            <a:ext cx="1486855"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xdr:nvSpPr>
        <xdr:cNvPr id="9" name="TextBox 8"/>
        <xdr:cNvSpPr txBox="1"/>
      </xdr:nvSpPr>
      <xdr:spPr>
        <a:xfrm>
          <a:off x="8953500" y="1724025"/>
          <a:ext cx="1638300"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1</xdr:colOff>
      <xdr:row>0</xdr:row>
      <xdr:rowOff>134471</xdr:rowOff>
    </xdr:from>
    <xdr:to>
      <xdr:col>24</xdr:col>
      <xdr:colOff>508000</xdr:colOff>
      <xdr:row>11</xdr:row>
      <xdr:rowOff>137094</xdr:rowOff>
    </xdr:to>
    <xdr:grpSp>
      <xdr:nvGrpSpPr>
        <xdr:cNvPr id="2" name="Group 1"/>
        <xdr:cNvGrpSpPr>
          <a:grpSpLocks/>
        </xdr:cNvGrpSpPr>
      </xdr:nvGrpSpPr>
      <xdr:grpSpPr>
        <a:xfrm>
          <a:off x="304800" y="133350"/>
          <a:ext cx="19497675" cy="1990725"/>
          <a:chOff x="10997237"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4" name="Rectangle 3"/>
          <xdr:cNvSpPr/>
        </xdr:nvSpPr>
        <xdr:spPr>
          <a:xfrm>
            <a:off x="11148967" y="6041838"/>
            <a:ext cx="8566570" cy="130203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xdr:nvSpPr>
        <xdr:cNvPr id="7" name="TextBox 6"/>
        <xdr:cNvSpPr txBox="1"/>
      </xdr:nvSpPr>
      <xdr:spPr>
        <a:xfrm>
          <a:off x="17335500" y="1600200"/>
          <a:ext cx="2009775" cy="3905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581025" y="476250"/>
          <a:ext cx="552450" cy="5429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fLocksText="0">
      <xdr:nvSpPr>
        <xdr:cNvPr id="9" name="Rectangle 8"/>
        <xdr:cNvSpPr/>
      </xdr:nvSpPr>
      <xdr:spPr>
        <a:xfrm>
          <a:off x="1352550" y="447675"/>
          <a:ext cx="2171700" cy="4000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0</xdr:colOff>
      <xdr:row>0</xdr:row>
      <xdr:rowOff>0</xdr:rowOff>
    </xdr:from>
    <xdr:to>
      <xdr:col>19</xdr:col>
      <xdr:colOff>465667</xdr:colOff>
      <xdr:row>1</xdr:row>
      <xdr:rowOff>42334</xdr:rowOff>
    </xdr:to>
    <xdr:grpSp>
      <xdr:nvGrpSpPr>
        <xdr:cNvPr id="2" name="Group 1"/>
        <xdr:cNvGrpSpPr>
          <a:grpSpLocks/>
        </xdr:cNvGrpSpPr>
      </xdr:nvGrpSpPr>
      <xdr:grpSpPr>
        <a:xfrm>
          <a:off x="0" y="0"/>
          <a:ext cx="19450050" cy="1981200"/>
          <a:chOff x="10997237"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4" name="Rectangle 3"/>
          <xdr:cNvSpPr/>
        </xdr:nvSpPr>
        <xdr:spPr>
          <a:xfrm>
            <a:off x="11107770" y="6116284"/>
            <a:ext cx="8566570" cy="1126093"/>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40788" y="5681270"/>
            <a:ext cx="278569" cy="592393"/>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468474" y="5742942"/>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xdr:nvSpPr>
        <xdr:cNvPr id="7" name="TextBox 6"/>
        <xdr:cNvSpPr txBox="1"/>
      </xdr:nvSpPr>
      <xdr:spPr>
        <a:xfrm>
          <a:off x="17306925" y="1400175"/>
          <a:ext cx="1571625" cy="2857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95250</xdr:colOff>
      <xdr:row>0</xdr:row>
      <xdr:rowOff>152400</xdr:rowOff>
    </xdr:from>
    <xdr:to>
      <xdr:col>32</xdr:col>
      <xdr:colOff>381000</xdr:colOff>
      <xdr:row>10</xdr:row>
      <xdr:rowOff>133350</xdr:rowOff>
    </xdr:to>
    <xdr:grpSp>
      <xdr:nvGrpSpPr>
        <xdr:cNvPr id="2" name="Group 1"/>
        <xdr:cNvGrpSpPr>
          <a:grpSpLocks/>
        </xdr:cNvGrpSpPr>
      </xdr:nvGrpSpPr>
      <xdr:grpSpPr>
        <a:xfrm>
          <a:off x="95250" y="152400"/>
          <a:ext cx="28060650" cy="1790700"/>
          <a:chOff x="10997237"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4" name="Rectangle 3"/>
          <xdr:cNvSpPr/>
        </xdr:nvSpPr>
        <xdr:spPr>
          <a:xfrm>
            <a:off x="11104367" y="6026223"/>
            <a:ext cx="8566570" cy="1126093"/>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52902" y="5668151"/>
            <a:ext cx="250699" cy="499409"/>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516930" y="5647451"/>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xdr:nvSpPr>
        <xdr:cNvPr id="7" name="TextBox 6"/>
        <xdr:cNvSpPr txBox="1"/>
      </xdr:nvSpPr>
      <xdr:spPr>
        <a:xfrm>
          <a:off x="25469850" y="1438275"/>
          <a:ext cx="2276475" cy="2286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266700</xdr:colOff>
      <xdr:row>0</xdr:row>
      <xdr:rowOff>180975</xdr:rowOff>
    </xdr:from>
    <xdr:to>
      <xdr:col>21</xdr:col>
      <xdr:colOff>561975</xdr:colOff>
      <xdr:row>10</xdr:row>
      <xdr:rowOff>170391</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66700" y="180975"/>
          <a:ext cx="9144000" cy="1800225"/>
        </a:xfrm>
        <a:prstGeom prst="rect"/>
        <a:ln>
          <a:noFill/>
        </a:ln>
        <a:effectLst>
          <a:softEdge rad="112500"/>
        </a:effectLst>
      </xdr:spPr>
    </xdr:pic>
    <xdr:clientData/>
  </xdr:twoCellAnchor>
  <xdr:twoCellAnchor>
    <xdr:from>
      <xdr:col>1</xdr:col>
      <xdr:colOff>209550</xdr:colOff>
      <xdr:row>4</xdr:row>
      <xdr:rowOff>28575</xdr:rowOff>
    </xdr:from>
    <xdr:to>
      <xdr:col>21</xdr:col>
      <xdr:colOff>0</xdr:colOff>
      <xdr:row>10</xdr:row>
      <xdr:rowOff>158148</xdr:rowOff>
    </xdr:to>
    <xdr:sp macro="" fLocksText="0">
      <xdr:nvSpPr>
        <xdr:cNvPr id="3" name="Rectangle 2"/>
        <xdr:cNvSpPr/>
      </xdr:nvSpPr>
      <xdr:spPr>
        <a:xfrm>
          <a:off x="809625" y="752475"/>
          <a:ext cx="8039100" cy="1219200"/>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685800" y="495300"/>
          <a:ext cx="695325" cy="5429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fLocksText="0">
      <xdr:nvSpPr>
        <xdr:cNvPr id="5" name="Rectangle 4"/>
        <xdr:cNvSpPr/>
      </xdr:nvSpPr>
      <xdr:spPr>
        <a:xfrm>
          <a:off x="1466850" y="561975"/>
          <a:ext cx="4572000" cy="3619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21</xdr:col>
      <xdr:colOff>249767</xdr:colOff>
      <xdr:row>9</xdr:row>
      <xdr:rowOff>104775</xdr:rowOff>
    </xdr:to>
    <xdr:sp macro="">
      <xdr:nvSpPr>
        <xdr:cNvPr id="6" name="TextBox 5"/>
        <xdr:cNvSpPr txBox="1"/>
      </xdr:nvSpPr>
      <xdr:spPr>
        <a:xfrm>
          <a:off x="7010400" y="1495425"/>
          <a:ext cx="2085975"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297519</xdr:colOff>
      <xdr:row>1</xdr:row>
      <xdr:rowOff>96932</xdr:rowOff>
    </xdr:from>
    <xdr:to>
      <xdr:col>23</xdr:col>
      <xdr:colOff>304801</xdr:colOff>
      <xdr:row>13</xdr:row>
      <xdr:rowOff>100854</xdr:rowOff>
    </xdr:to>
    <xdr:grpSp>
      <xdr:nvGrpSpPr>
        <xdr:cNvPr id="2" name="Group 1"/>
        <xdr:cNvGrpSpPr>
          <a:grpSpLocks/>
        </xdr:cNvGrpSpPr>
      </xdr:nvGrpSpPr>
      <xdr:grpSpPr>
        <a:xfrm>
          <a:off x="295275" y="276225"/>
          <a:ext cx="15678150" cy="2181225"/>
          <a:chOff x="11012846"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012846" y="5479676"/>
            <a:ext cx="8857420" cy="1900278"/>
          </a:xfrm>
          <a:prstGeom prst="rect"/>
          <a:ln>
            <a:noFill/>
          </a:ln>
          <a:effectLst>
            <a:softEdge rad="112500"/>
          </a:effectLst>
        </xdr:spPr>
      </xdr:pic>
      <xdr:sp macro="" fLocksText="0">
        <xdr:nvSpPr>
          <xdr:cNvPr id="4" name="Rectangle 3"/>
          <xdr:cNvSpPr/>
        </xdr:nvSpPr>
        <xdr:spPr>
          <a:xfrm>
            <a:off x="11118398" y="6173855"/>
            <a:ext cx="8566570" cy="926244"/>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731384"/>
            <a:ext cx="301704" cy="440204"/>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528227" y="5740652"/>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xdr:nvSpPr>
        <xdr:cNvPr id="8" name="TextBox 7"/>
        <xdr:cNvSpPr txBox="1"/>
      </xdr:nvSpPr>
      <xdr:spPr>
        <a:xfrm>
          <a:off x="13725525" y="1914525"/>
          <a:ext cx="1762125"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0</xdr:row>
      <xdr:rowOff>76200</xdr:rowOff>
    </xdr:from>
    <xdr:to>
      <xdr:col>6</xdr:col>
      <xdr:colOff>338667</xdr:colOff>
      <xdr:row>1</xdr:row>
      <xdr:rowOff>190500</xdr:rowOff>
    </xdr:to>
    <xdr:grpSp>
      <xdr:nvGrpSpPr>
        <xdr:cNvPr id="4" name="Group 3"/>
        <xdr:cNvGrpSpPr>
          <a:grpSpLocks/>
        </xdr:cNvGrpSpPr>
      </xdr:nvGrpSpPr>
      <xdr:grpSpPr>
        <a:xfrm>
          <a:off x="123825" y="76200"/>
          <a:ext cx="18345150" cy="1971675"/>
          <a:chOff x="10997237" y="5479676"/>
          <a:chExt cx="8857420" cy="1900278"/>
        </a:xfrm>
      </xdr:grpSpPr>
      <xdr:pic>
        <xdr:nvPicPr>
          <xdr:cNvPr id="5" name="Picture 4"/>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6" name="Rectangle 5"/>
          <xdr:cNvSpPr/>
        </xdr:nvSpPr>
        <xdr:spPr>
          <a:xfrm>
            <a:off x="11107770" y="5940347"/>
            <a:ext cx="8566570" cy="130203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668150"/>
            <a:ext cx="301704" cy="440204"/>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8" name="Rectangle 7"/>
          <xdr:cNvSpPr/>
        </xdr:nvSpPr>
        <xdr:spPr>
          <a:xfrm>
            <a:off x="11516930" y="5637897"/>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xdr:nvSpPr>
        <xdr:cNvPr id="10" name="TextBox 9"/>
        <xdr:cNvSpPr txBox="1"/>
      </xdr:nvSpPr>
      <xdr:spPr>
        <a:xfrm>
          <a:off x="15001875" y="1504950"/>
          <a:ext cx="3067050" cy="4095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135155</xdr:colOff>
      <xdr:row>0</xdr:row>
      <xdr:rowOff>47006</xdr:rowOff>
    </xdr:from>
    <xdr:to>
      <xdr:col>12</xdr:col>
      <xdr:colOff>110813</xdr:colOff>
      <xdr:row>1</xdr:row>
      <xdr:rowOff>555830</xdr:rowOff>
    </xdr:to>
    <xdr:grpSp>
      <xdr:nvGrpSpPr>
        <xdr:cNvPr id="2" name="Group 1"/>
        <xdr:cNvGrpSpPr>
          <a:grpSpLocks/>
        </xdr:cNvGrpSpPr>
      </xdr:nvGrpSpPr>
      <xdr:grpSpPr>
        <a:xfrm>
          <a:off x="133350" y="47625"/>
          <a:ext cx="16916400" cy="2333625"/>
          <a:chOff x="11005139" y="5482585"/>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005139" y="5482585"/>
            <a:ext cx="8857420" cy="1900278"/>
          </a:xfrm>
          <a:prstGeom prst="rect"/>
          <a:ln>
            <a:noFill/>
          </a:ln>
          <a:effectLst>
            <a:softEdge rad="112500"/>
          </a:effectLst>
        </xdr:spPr>
      </xdr:pic>
      <xdr:sp macro="" fLocksText="0">
        <xdr:nvSpPr>
          <xdr:cNvPr id="4" name="Rectangle 3"/>
          <xdr:cNvSpPr/>
        </xdr:nvSpPr>
        <xdr:spPr>
          <a:xfrm>
            <a:off x="11224639" y="6136775"/>
            <a:ext cx="8566570" cy="1159108"/>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222587" y="5705314"/>
            <a:ext cx="335573" cy="537624"/>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614591" y="5735241"/>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958850</xdr:colOff>
          <xdr:row>53</xdr:row>
          <xdr:rowOff>31750</xdr:rowOff>
        </xdr:from>
        <xdr:to>
          <xdr:col>2</xdr:col>
          <xdr:colOff>1377950</xdr:colOff>
          <xdr:row>54</xdr:row>
          <xdr:rowOff>158750</xdr:rowOff>
        </xdr:to>
        <xdr:sp fLocksText="0">
          <xdr:nvSpPr>
            <xdr:cNvPr id="3074" name="Check Box 2" hidden="1">
              <a:extLst>
                <a:ext uri="{63B3BB69-23CF-44E3-9099-C40C66FF867C}">
                  <a14:compatExt spid="_x0000_s3074"/>
                </a:ext>
              </a:extLst>
            </xdr:cNvPr>
            <xdr:cNvSpPr>
              <a:spLocks noRot="1"/>
            </xdr:cNvSpPr>
          </xdr:nvSpPr>
          <xdr:spPr>
            <a:xfrm>
              <a:off x="3371850" y="18649950"/>
              <a:ext cx="419100" cy="31432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56</xdr:row>
          <xdr:rowOff>31750</xdr:rowOff>
        </xdr:from>
        <xdr:to>
          <xdr:col>2</xdr:col>
          <xdr:colOff>1377950</xdr:colOff>
          <xdr:row>57</xdr:row>
          <xdr:rowOff>158750</xdr:rowOff>
        </xdr:to>
        <xdr:sp fLocksText="0">
          <xdr:nvSpPr>
            <xdr:cNvPr id="3100" name="Check Box 28" hidden="1">
              <a:extLst>
                <a:ext uri="{63B3BB69-23CF-44E3-9099-C40C66FF867C}">
                  <a14:compatExt spid="_x0000_s3100"/>
                </a:ext>
              </a:extLst>
            </xdr:cNvPr>
            <xdr:cNvSpPr>
              <a:spLocks noRot="1"/>
            </xdr:cNvSpPr>
          </xdr:nvSpPr>
          <xdr:spPr>
            <a:xfrm>
              <a:off x="3371850" y="19221450"/>
              <a:ext cx="419100" cy="31432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59</xdr:row>
          <xdr:rowOff>31750</xdr:rowOff>
        </xdr:from>
        <xdr:to>
          <xdr:col>2</xdr:col>
          <xdr:colOff>1377950</xdr:colOff>
          <xdr:row>60</xdr:row>
          <xdr:rowOff>158750</xdr:rowOff>
        </xdr:to>
        <xdr:sp fLocksText="0">
          <xdr:nvSpPr>
            <xdr:cNvPr id="3101" name="Check Box 29" hidden="1">
              <a:extLst>
                <a:ext uri="{63B3BB69-23CF-44E3-9099-C40C66FF867C}">
                  <a14:compatExt spid="_x0000_s3101"/>
                </a:ext>
              </a:extLst>
            </xdr:cNvPr>
            <xdr:cNvSpPr>
              <a:spLocks noRot="1"/>
            </xdr:cNvSpPr>
          </xdr:nvSpPr>
          <xdr:spPr>
            <a:xfrm>
              <a:off x="3371850" y="19792950"/>
              <a:ext cx="419100" cy="31432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62</xdr:row>
          <xdr:rowOff>31750</xdr:rowOff>
        </xdr:from>
        <xdr:to>
          <xdr:col>2</xdr:col>
          <xdr:colOff>1377950</xdr:colOff>
          <xdr:row>63</xdr:row>
          <xdr:rowOff>158750</xdr:rowOff>
        </xdr:to>
        <xdr:sp fLocksText="0">
          <xdr:nvSpPr>
            <xdr:cNvPr id="3102" name="Check Box 30" hidden="1">
              <a:extLst>
                <a:ext uri="{63B3BB69-23CF-44E3-9099-C40C66FF867C}">
                  <a14:compatExt spid="_x0000_s3102"/>
                </a:ext>
              </a:extLst>
            </xdr:cNvPr>
            <xdr:cNvSpPr>
              <a:spLocks noRot="1"/>
            </xdr:cNvSpPr>
          </xdr:nvSpPr>
          <xdr:spPr>
            <a:xfrm>
              <a:off x="3371850" y="20364450"/>
              <a:ext cx="419100" cy="31432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65</xdr:row>
          <xdr:rowOff>31750</xdr:rowOff>
        </xdr:from>
        <xdr:to>
          <xdr:col>2</xdr:col>
          <xdr:colOff>1377950</xdr:colOff>
          <xdr:row>66</xdr:row>
          <xdr:rowOff>158750</xdr:rowOff>
        </xdr:to>
        <xdr:sp fLocksText="0">
          <xdr:nvSpPr>
            <xdr:cNvPr id="3103" name="Check Box 31" hidden="1">
              <a:extLst>
                <a:ext uri="{63B3BB69-23CF-44E3-9099-C40C66FF867C}">
                  <a14:compatExt spid="_x0000_s3103"/>
                </a:ext>
              </a:extLst>
            </xdr:cNvPr>
            <xdr:cNvSpPr>
              <a:spLocks noRot="1"/>
            </xdr:cNvSpPr>
          </xdr:nvSpPr>
          <xdr:spPr>
            <a:xfrm>
              <a:off x="3371850" y="20935950"/>
              <a:ext cx="419100" cy="314325"/>
            </a:xfrm>
            <a:prstGeom prst="rect"/>
            <a:noFill/>
            <a:ln>
              <a:noFill/>
            </a:ln>
          </xdr:spPr>
          <xdr:txBody>
            <a:bodyPr vertOverflow="clip" anchor="ctr" upright="1"/>
            <a:p/>
          </xdr:txBody>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xdr:nvSpPr>
        <xdr:cNvPr id="13" name="TextBox 12"/>
        <xdr:cNvSpPr txBox="1"/>
      </xdr:nvSpPr>
      <xdr:spPr>
        <a:xfrm>
          <a:off x="17049750" y="1733550"/>
          <a:ext cx="0"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958850</xdr:colOff>
          <xdr:row>68</xdr:row>
          <xdr:rowOff>38100</xdr:rowOff>
        </xdr:from>
        <xdr:to>
          <xdr:col>2</xdr:col>
          <xdr:colOff>1377950</xdr:colOff>
          <xdr:row>70</xdr:row>
          <xdr:rowOff>0</xdr:rowOff>
        </xdr:to>
        <xdr:sp fLocksText="0">
          <xdr:nvSpPr>
            <xdr:cNvPr id="3104" name="Check Box 32" hidden="1">
              <a:extLst>
                <a:ext uri="{63B3BB69-23CF-44E3-9099-C40C66FF867C}">
                  <a14:compatExt spid="_x0000_s3104"/>
                </a:ext>
              </a:extLst>
            </xdr:cNvPr>
            <xdr:cNvSpPr>
              <a:spLocks noRot="1"/>
            </xdr:cNvSpPr>
          </xdr:nvSpPr>
          <xdr:spPr>
            <a:xfrm>
              <a:off x="3371850" y="21516975"/>
              <a:ext cx="4191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71</xdr:row>
          <xdr:rowOff>38100</xdr:rowOff>
        </xdr:from>
        <xdr:to>
          <xdr:col>2</xdr:col>
          <xdr:colOff>1377950</xdr:colOff>
          <xdr:row>73</xdr:row>
          <xdr:rowOff>0</xdr:rowOff>
        </xdr:to>
        <xdr:sp fLocksText="0">
          <xdr:nvSpPr>
            <xdr:cNvPr id="3105" name="Check Box 33" hidden="1">
              <a:extLst>
                <a:ext uri="{63B3BB69-23CF-44E3-9099-C40C66FF867C}">
                  <a14:compatExt spid="_x0000_s3105"/>
                </a:ext>
              </a:extLst>
            </xdr:cNvPr>
            <xdr:cNvSpPr>
              <a:spLocks noRot="1"/>
            </xdr:cNvSpPr>
          </xdr:nvSpPr>
          <xdr:spPr>
            <a:xfrm>
              <a:off x="3371850" y="22088475"/>
              <a:ext cx="4191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177800</xdr:rowOff>
        </xdr:to>
        <xdr:sp fLocksText="0">
          <xdr:nvSpPr>
            <xdr:cNvPr id="3106" name="Check Box 34" hidden="1">
              <a:extLst>
                <a:ext uri="{63B3BB69-23CF-44E3-9099-C40C66FF867C}">
                  <a14:compatExt spid="_x0000_s3106"/>
                </a:ext>
              </a:extLst>
            </xdr:cNvPr>
            <xdr:cNvSpPr>
              <a:spLocks noRot="1"/>
            </xdr:cNvSpPr>
          </xdr:nvSpPr>
          <xdr:spPr>
            <a:xfrm>
              <a:off x="3362325" y="22659975"/>
              <a:ext cx="419100" cy="333375"/>
            </a:xfrm>
            <a:prstGeom prst="rect"/>
            <a:noFill/>
            <a:ln>
              <a:noFill/>
            </a:ln>
          </xdr:spPr>
          <xdr:txBody>
            <a:bodyPr vertOverflow="clip" anchor="ctr" upright="1"/>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238125</xdr:colOff>
      <xdr:row>0</xdr:row>
      <xdr:rowOff>38100</xdr:rowOff>
    </xdr:from>
    <xdr:to>
      <xdr:col>8</xdr:col>
      <xdr:colOff>504825</xdr:colOff>
      <xdr:row>11</xdr:row>
      <xdr:rowOff>133350</xdr:rowOff>
    </xdr:to>
    <xdr:grpSp>
      <xdr:nvGrpSpPr>
        <xdr:cNvPr id="2" name="Group 1"/>
        <xdr:cNvGrpSpPr>
          <a:grpSpLocks/>
        </xdr:cNvGrpSpPr>
      </xdr:nvGrpSpPr>
      <xdr:grpSpPr>
        <a:xfrm>
          <a:off x="238125" y="38100"/>
          <a:ext cx="16144875" cy="2085975"/>
          <a:chOff x="10964411" y="5491703"/>
          <a:chExt cx="8857420" cy="191359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64411" y="5491703"/>
            <a:ext cx="8857420" cy="1900278"/>
          </a:xfrm>
          <a:prstGeom prst="rect"/>
          <a:ln>
            <a:noFill/>
          </a:ln>
          <a:effectLst>
            <a:softEdge rad="112500"/>
          </a:effectLst>
        </xdr:spPr>
      </xdr:pic>
      <xdr:sp macro="" fLocksText="0">
        <xdr:nvSpPr>
          <xdr:cNvPr id="4" name="Rectangle 3"/>
          <xdr:cNvSpPr/>
        </xdr:nvSpPr>
        <xdr:spPr>
          <a:xfrm>
            <a:off x="11224639" y="6103270"/>
            <a:ext cx="8566570" cy="130203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37781" y="5753274"/>
            <a:ext cx="334523" cy="404648"/>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507160" y="5719399"/>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xdr:nvSpPr>
        <xdr:cNvPr id="8" name="TextBox 7"/>
        <xdr:cNvSpPr txBox="1"/>
      </xdr:nvSpPr>
      <xdr:spPr>
        <a:xfrm>
          <a:off x="14344650" y="1562100"/>
          <a:ext cx="1676400" cy="2571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102950</xdr:colOff>
      <xdr:row>0</xdr:row>
      <xdr:rowOff>0</xdr:rowOff>
    </xdr:from>
    <xdr:to>
      <xdr:col>12</xdr:col>
      <xdr:colOff>1354667</xdr:colOff>
      <xdr:row>1</xdr:row>
      <xdr:rowOff>258535</xdr:rowOff>
    </xdr:to>
    <xdr:grpSp>
      <xdr:nvGrpSpPr>
        <xdr:cNvPr id="2" name="Group 1"/>
        <xdr:cNvGrpSpPr>
          <a:grpSpLocks/>
        </xdr:cNvGrpSpPr>
      </xdr:nvGrpSpPr>
      <xdr:grpSpPr>
        <a:xfrm>
          <a:off x="104775" y="0"/>
          <a:ext cx="19392900" cy="2181225"/>
          <a:chOff x="10997237" y="5479676"/>
          <a:chExt cx="8857420" cy="1900278"/>
        </a:xfrm>
      </xdr:grpSpPr>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ln>
            <a:noFill/>
          </a:ln>
          <a:effectLst>
            <a:softEdge rad="112500"/>
          </a:effectLst>
        </xdr:spPr>
      </xdr:pic>
      <xdr:sp macro="" fLocksText="0">
        <xdr:nvSpPr>
          <xdr:cNvPr id="4" name="Rectangle 3"/>
          <xdr:cNvSpPr/>
        </xdr:nvSpPr>
        <xdr:spPr>
          <a:xfrm>
            <a:off x="11081640" y="6083808"/>
            <a:ext cx="8566570" cy="111876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668151"/>
            <a:ext cx="320144" cy="566286"/>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516930" y="5637897"/>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xdr:nvSpPr>
        <xdr:cNvPr id="7" name="TextBox 6"/>
        <xdr:cNvSpPr txBox="1"/>
      </xdr:nvSpPr>
      <xdr:spPr>
        <a:xfrm>
          <a:off x="17040225" y="1571625"/>
          <a:ext cx="1800225" cy="3238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0025" y="0"/>
          <a:ext cx="18326100" cy="1895475"/>
        </a:xfrm>
        <a:prstGeom prst="rect"/>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a:grpSpLocks/>
        </xdr:cNvGrpSpPr>
      </xdr:nvGrpSpPr>
      <xdr:grpSpPr>
        <a:xfrm>
          <a:off x="485775" y="285750"/>
          <a:ext cx="15440025" cy="1562100"/>
          <a:chOff x="11207347" y="5630816"/>
          <a:chExt cx="8999966" cy="1385141"/>
        </a:xfrm>
      </xdr:grpSpPr>
      <xdr:sp macro="" fLocksText="0">
        <xdr:nvSpPr>
          <xdr:cNvPr id="5" name="Rectangle 4"/>
          <xdr:cNvSpPr/>
        </xdr:nvSpPr>
        <xdr:spPr>
          <a:xfrm>
            <a:off x="12656772" y="5893681"/>
            <a:ext cx="7550541" cy="1122276"/>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207347" y="5630816"/>
            <a:ext cx="373357" cy="507799"/>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7" name="Rectangle 6"/>
          <xdr:cNvSpPr/>
        </xdr:nvSpPr>
        <xdr:spPr>
          <a:xfrm>
            <a:off x="11628401" y="5693897"/>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xdr:nvSpPr>
        <xdr:cNvPr id="8" name="TextBox 7"/>
        <xdr:cNvSpPr txBox="1"/>
      </xdr:nvSpPr>
      <xdr:spPr>
        <a:xfrm>
          <a:off x="15925800" y="1314450"/>
          <a:ext cx="2333625" cy="247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85750" y="295275"/>
          <a:ext cx="15659100" cy="1800225"/>
        </a:xfrm>
        <a:prstGeom prst="rect"/>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fLocksText="0">
      <xdr:nvSpPr>
        <xdr:cNvPr id="3" name="Rectangle 2"/>
        <xdr:cNvSpPr/>
      </xdr:nvSpPr>
      <xdr:spPr>
        <a:xfrm>
          <a:off x="819150" y="838200"/>
          <a:ext cx="14268450" cy="1209675"/>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685800" y="495300"/>
          <a:ext cx="628650" cy="5429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fLocksText="0">
      <xdr:nvSpPr>
        <xdr:cNvPr id="5" name="Rectangle 4"/>
        <xdr:cNvSpPr/>
      </xdr:nvSpPr>
      <xdr:spPr>
        <a:xfrm>
          <a:off x="1400175" y="561975"/>
          <a:ext cx="5905500" cy="3619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xdr:nvSpPr>
        <xdr:cNvPr id="6" name="TextBox 5"/>
        <xdr:cNvSpPr txBox="1"/>
      </xdr:nvSpPr>
      <xdr:spPr>
        <a:xfrm>
          <a:off x="13315950" y="1638300"/>
          <a:ext cx="2276475"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3350" y="66675"/>
          <a:ext cx="19307175" cy="2181225"/>
        </a:xfrm>
        <a:prstGeom prst="rect"/>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a:grpSpLocks/>
        </xdr:cNvGrpSpPr>
      </xdr:nvGrpSpPr>
      <xdr:grpSpPr>
        <a:xfrm>
          <a:off x="409575" y="219075"/>
          <a:ext cx="17821275" cy="2247900"/>
          <a:chOff x="11176383" y="5659979"/>
          <a:chExt cx="6311801" cy="1821373"/>
        </a:xfrm>
      </xdr:grpSpPr>
      <xdr:sp macro="" fLocksText="0">
        <xdr:nvSpPr>
          <xdr:cNvPr id="4" name="Rectangle 3"/>
          <xdr:cNvSpPr/>
        </xdr:nvSpPr>
        <xdr:spPr>
          <a:xfrm>
            <a:off x="11479798" y="6179321"/>
            <a:ext cx="6008386" cy="1302031"/>
          </a:xfrm>
          <a:prstGeom prst="rect"/>
          <a:noFill/>
        </xdr:spPr>
        <xdr:txBody>
          <a:bodyPr lIns="91440" tIns="45720" rIns="91440" bIns="45720" wrap="none">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rrowheads="1" noChangeAspect="1"/>
          </xdr:cNvPicPr>
        </xdr:nvPicPr>
        <xdr:blipFill>
          <a:blip r:embed="rId2">
            <a:extLst>
              <a:ext uri="{28A0092B-C50C-407E-A947-70E740481C1C}">
                <a14:useLocalDpi xmlns:a14="http://schemas.microsoft.com/office/drawing/2010/main" val="0"/>
              </a:ext>
            </a:extLst>
          </a:blip>
          <a:srcRect l="-2436" t="-1606" r="-2436" b="-1606"/>
          <a:stretch>
            <a:fillRect/>
          </a:stretch>
        </xdr:blipFill>
        <xdr:spPr bwMode="auto">
          <a:xfrm>
            <a:off x="11176383" y="5668151"/>
            <a:ext cx="197681" cy="463004"/>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fLocksText="0">
        <xdr:nvSpPr>
          <xdr:cNvPr id="6" name="Rectangle 5"/>
          <xdr:cNvSpPr/>
        </xdr:nvSpPr>
        <xdr:spPr>
          <a:xfrm>
            <a:off x="11397663" y="5659979"/>
            <a:ext cx="2583214" cy="336250"/>
          </a:xfrm>
          <a:prstGeom prst="rect"/>
          <a:noFill/>
        </xdr:spPr>
        <xdr:txBody>
          <a:bodyPr lIns="91440" tIns="45720" rIns="91440" bIns="45720" wrap="none">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xdr:nvSpPr>
        <xdr:cNvPr id="7" name="TextBox 6"/>
        <xdr:cNvSpPr txBox="1"/>
      </xdr:nvSpPr>
      <xdr:spPr>
        <a:xfrm>
          <a:off x="16649700" y="1676400"/>
          <a:ext cx="2286000" cy="4000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Algoma Power Inc.   </v>
          </cell>
          <cell r="B3">
            <v>1</v>
          </cell>
          <cell r="C3">
            <v>1.28</v>
          </cell>
          <cell r="D3">
            <v>7.37</v>
          </cell>
        </row>
        <row r="4">
          <cell r="A4" t="str">
            <v>Atikokan Hydro Inc.   </v>
          </cell>
          <cell r="B4">
            <v>2</v>
          </cell>
          <cell r="C4">
            <v>0.2</v>
          </cell>
          <cell r="D4">
            <v>1.16</v>
          </cell>
        </row>
        <row r="5">
          <cell r="A5" t="str">
            <v>Attawapiskat Power Corporation   </v>
          </cell>
          <cell r="B5">
            <v>3</v>
          </cell>
          <cell r="C5">
            <v>0.07</v>
          </cell>
          <cell r="D5">
            <v>0.29</v>
          </cell>
        </row>
        <row r="6">
          <cell r="A6" t="str">
            <v>Bluewater Power Distribution Corporation  </v>
          </cell>
          <cell r="B6">
            <v>4</v>
          </cell>
          <cell r="C6">
            <v>10.65</v>
          </cell>
          <cell r="D6">
            <v>53.73</v>
          </cell>
        </row>
        <row r="7">
          <cell r="A7" t="str">
            <v>Brant County Power Inc.  </v>
          </cell>
          <cell r="B7">
            <v>5</v>
          </cell>
          <cell r="C7">
            <v>3.3</v>
          </cell>
          <cell r="D7">
            <v>9.85</v>
          </cell>
        </row>
        <row r="8">
          <cell r="A8" t="str">
            <v>Brantford Power Inc.   </v>
          </cell>
          <cell r="B8">
            <v>6</v>
          </cell>
          <cell r="C8">
            <v>11.38</v>
          </cell>
          <cell r="D8">
            <v>48.92</v>
          </cell>
        </row>
        <row r="9">
          <cell r="A9" t="str">
            <v>Burlington Hydro Inc.   </v>
          </cell>
          <cell r="B9">
            <v>7</v>
          </cell>
          <cell r="C9">
            <v>21.95</v>
          </cell>
          <cell r="D9">
            <v>82.37</v>
          </cell>
        </row>
        <row r="10">
          <cell r="A10" t="str">
            <v>COLLUS Power Corporation   </v>
          </cell>
          <cell r="B10">
            <v>8</v>
          </cell>
          <cell r="C10">
            <v>3.14</v>
          </cell>
          <cell r="D10">
            <v>14.97</v>
          </cell>
        </row>
        <row r="11">
          <cell r="A11" t="str">
            <v>Cambridge and North Dumfries Hydro Inc.</v>
          </cell>
          <cell r="B11">
            <v>9</v>
          </cell>
          <cell r="C11">
            <v>17.68</v>
          </cell>
          <cell r="D11">
            <v>73.66</v>
          </cell>
        </row>
        <row r="12">
          <cell r="A12" t="str">
            <v>Canadian Niagara Power Inc.  </v>
          </cell>
          <cell r="B12">
            <v>10</v>
          </cell>
          <cell r="C12">
            <v>4.07</v>
          </cell>
          <cell r="D12">
            <v>15.81</v>
          </cell>
        </row>
        <row r="13">
          <cell r="A13" t="str">
            <v>Centre Wellington Hydro Ltd.  </v>
          </cell>
          <cell r="B13">
            <v>11</v>
          </cell>
          <cell r="C13">
            <v>1.64</v>
          </cell>
          <cell r="D13">
            <v>7.81</v>
          </cell>
        </row>
        <row r="14">
          <cell r="A14" t="str">
            <v>Chapleau Public Utilities Corporation  </v>
          </cell>
          <cell r="B14">
            <v>12</v>
          </cell>
          <cell r="C14">
            <v>0.17</v>
          </cell>
          <cell r="D14">
            <v>1.21</v>
          </cell>
        </row>
        <row r="15">
          <cell r="A15" t="str">
            <v>Chatham-Kent Hydro Inc.   </v>
          </cell>
          <cell r="B15">
            <v>13</v>
          </cell>
          <cell r="C15">
            <v>9.67</v>
          </cell>
          <cell r="D15">
            <v>37.28</v>
          </cell>
        </row>
        <row r="16">
          <cell r="A16" t="str">
            <v>Clinton Power Corporation   </v>
          </cell>
          <cell r="B16">
            <v>14</v>
          </cell>
          <cell r="C16">
            <v>0.32</v>
          </cell>
          <cell r="D16">
            <v>1.38</v>
          </cell>
        </row>
        <row r="17">
          <cell r="A17" t="str">
            <v>Cooperative Hydro Embrun Inc.  </v>
          </cell>
          <cell r="B17">
            <v>15</v>
          </cell>
          <cell r="C17">
            <v>0.34</v>
          </cell>
          <cell r="D17">
            <v>1.12</v>
          </cell>
        </row>
        <row r="18">
          <cell r="A18" t="str">
            <v>E.L.K. Energy Inc.   </v>
          </cell>
          <cell r="B18">
            <v>16</v>
          </cell>
          <cell r="C18">
            <v>2.69</v>
          </cell>
          <cell r="D18">
            <v>8.25</v>
          </cell>
        </row>
        <row r="19">
          <cell r="A19" t="str">
            <v>ENWIN Utilities Ltd.   </v>
          </cell>
          <cell r="B19">
            <v>17</v>
          </cell>
          <cell r="C19">
            <v>26.81</v>
          </cell>
          <cell r="D19">
            <v>117.89</v>
          </cell>
        </row>
        <row r="20">
          <cell r="A20" t="str">
            <v>Enersource Hydro Mississauga Inc.  </v>
          </cell>
          <cell r="B20">
            <v>18</v>
          </cell>
          <cell r="C20">
            <v>92.98</v>
          </cell>
          <cell r="D20">
            <v>417.22</v>
          </cell>
        </row>
        <row r="21">
          <cell r="A21" t="str">
            <v>Erie Thames Powerlines Corporation  </v>
          </cell>
          <cell r="B21">
            <v>19</v>
          </cell>
          <cell r="C21">
            <v>4.28</v>
          </cell>
          <cell r="D21">
            <v>18.6</v>
          </cell>
        </row>
        <row r="22">
          <cell r="A22" t="str">
            <v>Espanola Regional Hydro Distribution Corporation </v>
          </cell>
          <cell r="B22">
            <v>20</v>
          </cell>
          <cell r="C22">
            <v>0.52</v>
          </cell>
          <cell r="D22">
            <v>2.76</v>
          </cell>
        </row>
        <row r="23">
          <cell r="A23" t="str">
            <v>Essex Powerlines Corporation   </v>
          </cell>
          <cell r="B23">
            <v>21</v>
          </cell>
          <cell r="C23">
            <v>7.19</v>
          </cell>
          <cell r="D23">
            <v>21.54</v>
          </cell>
        </row>
        <row r="24">
          <cell r="A24" t="str">
            <v>Festival Hydro Inc.   </v>
          </cell>
          <cell r="B24">
            <v>22</v>
          </cell>
          <cell r="C24">
            <v>6.23</v>
          </cell>
          <cell r="D24">
            <v>29.25</v>
          </cell>
        </row>
        <row r="25">
          <cell r="A25" t="str">
            <v>Fort Albany Power Corporation  </v>
          </cell>
          <cell r="B25">
            <v>23</v>
          </cell>
          <cell r="C25">
            <v>0.05</v>
          </cell>
          <cell r="D25">
            <v>0.24</v>
          </cell>
        </row>
        <row r="26">
          <cell r="A26" t="str">
            <v>Fort Frances Power Corporation  </v>
          </cell>
          <cell r="B26">
            <v>24</v>
          </cell>
          <cell r="C26">
            <v>0.61</v>
          </cell>
          <cell r="D26">
            <v>3.64</v>
          </cell>
        </row>
        <row r="27">
          <cell r="A27" t="str">
            <v>Greater Sudbury Hydro Inc.  </v>
          </cell>
          <cell r="B27">
            <v>25</v>
          </cell>
          <cell r="C27">
            <v>8.22</v>
          </cell>
          <cell r="D27">
            <v>43.71</v>
          </cell>
        </row>
        <row r="28">
          <cell r="A28" t="str">
            <v>Grimsby Power Inc.   </v>
          </cell>
          <cell r="B28">
            <v>26</v>
          </cell>
          <cell r="C28">
            <v>2.06</v>
          </cell>
          <cell r="D28">
            <v>7.76</v>
          </cell>
        </row>
        <row r="29">
          <cell r="A29" t="str">
            <v>Guelph Hydro Electric Systems Inc. </v>
          </cell>
          <cell r="B29">
            <v>27</v>
          </cell>
          <cell r="C29">
            <v>16.71</v>
          </cell>
          <cell r="D29">
            <v>79.53</v>
          </cell>
        </row>
        <row r="30">
          <cell r="A30" t="str">
            <v>Haldimand County Hydro Inc.  </v>
          </cell>
          <cell r="B30">
            <v>28</v>
          </cell>
          <cell r="C30">
            <v>2.85</v>
          </cell>
          <cell r="D30">
            <v>13.3</v>
          </cell>
        </row>
        <row r="31">
          <cell r="A31" t="str">
            <v>Halton Hills Hydro Inc.  </v>
          </cell>
          <cell r="B31">
            <v>29</v>
          </cell>
          <cell r="C31">
            <v>6.15</v>
          </cell>
          <cell r="D31">
            <v>22.48</v>
          </cell>
        </row>
        <row r="32">
          <cell r="A32" t="str">
            <v>Hearst Power Distribution Company Limited </v>
          </cell>
          <cell r="B32">
            <v>30</v>
          </cell>
          <cell r="C32">
            <v>0.68</v>
          </cell>
          <cell r="D32">
            <v>3.91</v>
          </cell>
        </row>
        <row r="33">
          <cell r="A33" t="str">
            <v>Horizon Utilities Corporation   </v>
          </cell>
          <cell r="B33">
            <v>31</v>
          </cell>
          <cell r="C33">
            <v>60.36</v>
          </cell>
          <cell r="D33">
            <v>281.42</v>
          </cell>
        </row>
        <row r="34">
          <cell r="A34" t="str">
            <v>Hydro 2000 Inc.   </v>
          </cell>
          <cell r="B34">
            <v>32</v>
          </cell>
          <cell r="C34">
            <v>0.19</v>
          </cell>
          <cell r="D34">
            <v>1.04</v>
          </cell>
        </row>
        <row r="35">
          <cell r="A35" t="str">
            <v>Hydro Hawkesbury Inc.   </v>
          </cell>
          <cell r="B35">
            <v>33</v>
          </cell>
          <cell r="C35">
            <v>1.82</v>
          </cell>
          <cell r="D35">
            <v>9.28</v>
          </cell>
        </row>
        <row r="36">
          <cell r="A36" t="str">
            <v>Hydro One Brampton Networks Inc. </v>
          </cell>
          <cell r="B36">
            <v>34</v>
          </cell>
          <cell r="C36">
            <v>45.61</v>
          </cell>
          <cell r="D36">
            <v>189.54</v>
          </cell>
        </row>
        <row r="37">
          <cell r="A37" t="str">
            <v>Hydro One Networks Inc.  </v>
          </cell>
          <cell r="B37">
            <v>35</v>
          </cell>
          <cell r="C37">
            <v>213.66</v>
          </cell>
          <cell r="D37">
            <v>1130.21</v>
          </cell>
        </row>
        <row r="38">
          <cell r="A38" t="str">
            <v>Hydro Ottawa Limited   </v>
          </cell>
          <cell r="B38">
            <v>36</v>
          </cell>
          <cell r="C38">
            <v>85.26</v>
          </cell>
          <cell r="D38">
            <v>374.73</v>
          </cell>
        </row>
        <row r="39">
          <cell r="A39" t="str">
            <v>Innisfil Hydro Distribution Systems Limited </v>
          </cell>
          <cell r="B39">
            <v>37</v>
          </cell>
          <cell r="C39">
            <v>2.5</v>
          </cell>
          <cell r="D39">
            <v>9.2</v>
          </cell>
        </row>
        <row r="40">
          <cell r="A40" t="str">
            <v>Kashechewan Power Corporation   </v>
          </cell>
          <cell r="B40">
            <v>38</v>
          </cell>
          <cell r="C40">
            <v>0.07</v>
          </cell>
          <cell r="D40">
            <v>0.33</v>
          </cell>
        </row>
        <row r="41">
          <cell r="A41" t="str">
            <v>Kenora Hydro Electric Corporation Ltd. </v>
          </cell>
          <cell r="B41">
            <v>39</v>
          </cell>
          <cell r="C41">
            <v>0.86</v>
          </cell>
          <cell r="D41">
            <v>5.22</v>
          </cell>
        </row>
        <row r="42">
          <cell r="A42" t="str">
            <v>Kingston Hydro Corporation   </v>
          </cell>
          <cell r="B42">
            <v>40</v>
          </cell>
          <cell r="C42">
            <v>6.63</v>
          </cell>
          <cell r="D42">
            <v>37.16</v>
          </cell>
        </row>
        <row r="43">
          <cell r="A43" t="str">
            <v>Kitchener-Wilmot Hydro Inc.   </v>
          </cell>
          <cell r="B43">
            <v>41</v>
          </cell>
          <cell r="C43">
            <v>21.56</v>
          </cell>
          <cell r="D43">
            <v>90.29</v>
          </cell>
        </row>
        <row r="44">
          <cell r="A44" t="str">
            <v>Lakefront Utilities Inc.   </v>
          </cell>
          <cell r="B44">
            <v>42</v>
          </cell>
          <cell r="C44">
            <v>2.77</v>
          </cell>
          <cell r="D44">
            <v>13.59</v>
          </cell>
        </row>
        <row r="45">
          <cell r="A45" t="str">
            <v>Lakeland Power Distribution Ltd.  </v>
          </cell>
          <cell r="B45">
            <v>43</v>
          </cell>
          <cell r="C45">
            <v>2.32</v>
          </cell>
          <cell r="D45">
            <v>10.18</v>
          </cell>
        </row>
        <row r="46">
          <cell r="A46" t="str">
            <v>London Hydro Inc.   </v>
          </cell>
          <cell r="B46">
            <v>44</v>
          </cell>
          <cell r="C46">
            <v>41.44</v>
          </cell>
          <cell r="D46">
            <v>156.64</v>
          </cell>
        </row>
        <row r="47">
          <cell r="A47" t="str">
            <v>Middlesex Power Distribution Corporation  </v>
          </cell>
          <cell r="B47">
            <v>45</v>
          </cell>
          <cell r="C47">
            <v>2.45</v>
          </cell>
          <cell r="D47">
            <v>9.25</v>
          </cell>
        </row>
        <row r="48">
          <cell r="A48" t="str">
            <v>Midland Power Utility Corporation  </v>
          </cell>
          <cell r="B48">
            <v>46</v>
          </cell>
          <cell r="C48">
            <v>2.39</v>
          </cell>
          <cell r="D48">
            <v>10.82</v>
          </cell>
        </row>
        <row r="49">
          <cell r="A49" t="str">
            <v>Milton Hydro Distribution Inc.  </v>
          </cell>
          <cell r="B49">
            <v>47</v>
          </cell>
          <cell r="C49">
            <v>8.05</v>
          </cell>
          <cell r="D49">
            <v>33.5</v>
          </cell>
        </row>
        <row r="50">
          <cell r="A50" t="str">
            <v>Newmarket - Tay Power Distribution Ltd.</v>
          </cell>
          <cell r="B50">
            <v>48</v>
          </cell>
          <cell r="C50">
            <v>8.76</v>
          </cell>
          <cell r="D50">
            <v>33.05</v>
          </cell>
        </row>
        <row r="51">
          <cell r="A51" t="str">
            <v>Niagara Peninsula Energy Inc.  </v>
          </cell>
          <cell r="B51">
            <v>49</v>
          </cell>
          <cell r="C51">
            <v>15.49</v>
          </cell>
          <cell r="D51">
            <v>58.04</v>
          </cell>
        </row>
        <row r="52">
          <cell r="A52" t="str">
            <v>Niagara-on-the-Lake Hydro Inc.   </v>
          </cell>
          <cell r="B52">
            <v>50</v>
          </cell>
          <cell r="C52">
            <v>2.42</v>
          </cell>
          <cell r="D52">
            <v>8.27</v>
          </cell>
        </row>
        <row r="53">
          <cell r="A53" t="str">
            <v>Norfolk Power Distribution Inc.  </v>
          </cell>
          <cell r="B53">
            <v>51</v>
          </cell>
          <cell r="C53">
            <v>4.25</v>
          </cell>
          <cell r="D53">
            <v>15.68</v>
          </cell>
        </row>
        <row r="54">
          <cell r="A54" t="str">
            <v>North Bay Hydro Distribution Limited </v>
          </cell>
          <cell r="B54">
            <v>52</v>
          </cell>
          <cell r="C54">
            <v>5.05</v>
          </cell>
          <cell r="D54">
            <v>26.1</v>
          </cell>
        </row>
        <row r="55">
          <cell r="A55" t="str">
            <v>Northern Ontario Wires Inc.  </v>
          </cell>
          <cell r="B55">
            <v>53</v>
          </cell>
          <cell r="C55">
            <v>1.06</v>
          </cell>
          <cell r="D55">
            <v>5.88</v>
          </cell>
        </row>
        <row r="56">
          <cell r="A56" t="str">
            <v>Oakville Hydro Electricity Distribution Inc. </v>
          </cell>
          <cell r="B56">
            <v>54</v>
          </cell>
          <cell r="C56">
            <v>20.7</v>
          </cell>
          <cell r="D56">
            <v>74.06</v>
          </cell>
        </row>
        <row r="57">
          <cell r="A57" t="str">
            <v>Orangeville Hydro Limited   </v>
          </cell>
          <cell r="B57">
            <v>55</v>
          </cell>
          <cell r="C57">
            <v>2.78</v>
          </cell>
          <cell r="D57">
            <v>11.82</v>
          </cell>
        </row>
        <row r="58">
          <cell r="A58" t="str">
            <v>Orillia Power Distribution Corporation  </v>
          </cell>
          <cell r="B58">
            <v>56</v>
          </cell>
          <cell r="C58">
            <v>3.07</v>
          </cell>
          <cell r="D58">
            <v>15.05</v>
          </cell>
        </row>
        <row r="59">
          <cell r="A59" t="str">
            <v>Oshawa PUC Networks Inc.  </v>
          </cell>
          <cell r="B59">
            <v>57</v>
          </cell>
          <cell r="C59">
            <v>12.52</v>
          </cell>
          <cell r="D59">
            <v>52.24</v>
          </cell>
        </row>
        <row r="60">
          <cell r="A60" t="str">
            <v>Ottawa River Power Corporation  </v>
          </cell>
          <cell r="B60">
            <v>58</v>
          </cell>
          <cell r="C60">
            <v>1.61</v>
          </cell>
          <cell r="D60">
            <v>8.97</v>
          </cell>
        </row>
        <row r="61">
          <cell r="A61" t="str">
            <v>PUC Distribution Inc.   </v>
          </cell>
          <cell r="B61">
            <v>59</v>
          </cell>
          <cell r="C61">
            <v>5.58</v>
          </cell>
          <cell r="D61">
            <v>30.83</v>
          </cell>
        </row>
        <row r="62">
          <cell r="A62" t="str">
            <v>Parry Sound Power Corporation  </v>
          </cell>
          <cell r="B62">
            <v>60</v>
          </cell>
          <cell r="C62">
            <v>0.74</v>
          </cell>
          <cell r="D62">
            <v>4.16</v>
          </cell>
        </row>
        <row r="63">
          <cell r="A63" t="str">
            <v>Peterborough Distribution Incorporated   </v>
          </cell>
          <cell r="B63">
            <v>61</v>
          </cell>
          <cell r="C63">
            <v>8.72</v>
          </cell>
          <cell r="D63">
            <v>38.45</v>
          </cell>
        </row>
        <row r="64">
          <cell r="A64" t="str">
            <v>Port Colborne Hydro Inc.  </v>
          </cell>
          <cell r="B64">
            <v>62</v>
          </cell>
          <cell r="C64">
            <v>2.33</v>
          </cell>
          <cell r="D64">
            <v>9.27</v>
          </cell>
        </row>
        <row r="65">
          <cell r="A65" t="str">
            <v>PowerStream Inc.    </v>
          </cell>
          <cell r="B65">
            <v>63</v>
          </cell>
          <cell r="C65">
            <v>95.57</v>
          </cell>
          <cell r="D65">
            <v>407.34</v>
          </cell>
        </row>
        <row r="66">
          <cell r="A66" t="str">
            <v>Renfrew Hydro Inc.   </v>
          </cell>
          <cell r="B66">
            <v>64</v>
          </cell>
          <cell r="C66">
            <v>1.05</v>
          </cell>
          <cell r="D66">
            <v>4.86</v>
          </cell>
        </row>
        <row r="67">
          <cell r="A67" t="str">
            <v>Rideau St. Lawrence Distribution Inc. </v>
          </cell>
          <cell r="B67">
            <v>65</v>
          </cell>
          <cell r="C67">
            <v>1.22</v>
          </cell>
          <cell r="D67">
            <v>5.1</v>
          </cell>
        </row>
        <row r="68">
          <cell r="A68" t="str">
            <v>Sioux Lookout Hydro Inc.  </v>
          </cell>
          <cell r="B68">
            <v>66</v>
          </cell>
          <cell r="C68">
            <v>0.51</v>
          </cell>
          <cell r="D68">
            <v>3.32</v>
          </cell>
        </row>
        <row r="69">
          <cell r="A69" t="str">
            <v>St. Thomas Energy Inc.  </v>
          </cell>
          <cell r="B69">
            <v>67</v>
          </cell>
          <cell r="C69">
            <v>3.94</v>
          </cell>
          <cell r="D69">
            <v>14.92</v>
          </cell>
        </row>
        <row r="70">
          <cell r="A70" t="str">
            <v>Thunder Bay Hydro Electricity Distribution Inc.</v>
          </cell>
          <cell r="B70">
            <v>68</v>
          </cell>
          <cell r="C70">
            <v>8.48</v>
          </cell>
          <cell r="D70">
            <v>47.38</v>
          </cell>
        </row>
        <row r="71">
          <cell r="A71" t="str">
            <v>Tillsonburg Hydro Inc.   </v>
          </cell>
          <cell r="B71">
            <v>69</v>
          </cell>
          <cell r="C71">
            <v>2.29</v>
          </cell>
          <cell r="D71">
            <v>10.25</v>
          </cell>
        </row>
        <row r="72">
          <cell r="A72" t="str">
            <v>Toronto Hydro-Electric System Limited  </v>
          </cell>
          <cell r="B72">
            <v>70</v>
          </cell>
          <cell r="C72">
            <v>286.27</v>
          </cell>
          <cell r="D72">
            <v>1303.99</v>
          </cell>
        </row>
        <row r="73">
          <cell r="A73" t="str">
            <v>Veridian Connections Inc.   </v>
          </cell>
          <cell r="B73">
            <v>71</v>
          </cell>
          <cell r="C73">
            <v>29.05</v>
          </cell>
          <cell r="D73">
            <v>115.74</v>
          </cell>
        </row>
        <row r="74">
          <cell r="A74" t="str">
            <v>Wasaga Distribution Inc.   </v>
          </cell>
          <cell r="B74">
            <v>72</v>
          </cell>
          <cell r="C74">
            <v>1.34</v>
          </cell>
          <cell r="D74">
            <v>4.01</v>
          </cell>
        </row>
        <row r="75">
          <cell r="A75" t="str">
            <v>Waterloo North Hydro Inc.  </v>
          </cell>
          <cell r="B75">
            <v>73</v>
          </cell>
          <cell r="C75">
            <v>15.79</v>
          </cell>
          <cell r="D75">
            <v>66.49</v>
          </cell>
        </row>
        <row r="76">
          <cell r="A76" t="str">
            <v>Welland Hydro-Electric System Corp.  </v>
          </cell>
          <cell r="B76">
            <v>74</v>
          </cell>
          <cell r="C76">
            <v>5.56</v>
          </cell>
          <cell r="D76">
            <v>20.6</v>
          </cell>
        </row>
        <row r="77">
          <cell r="A77" t="str">
            <v>Wellington North Power Inc.  </v>
          </cell>
          <cell r="B77">
            <v>75</v>
          </cell>
          <cell r="C77">
            <v>0.93</v>
          </cell>
          <cell r="D77">
            <v>4.52</v>
          </cell>
        </row>
        <row r="78">
          <cell r="A78" t="str">
            <v>West Coast Huron Energy Inc. </v>
          </cell>
          <cell r="B78">
            <v>76</v>
          </cell>
          <cell r="C78">
            <v>0.88</v>
          </cell>
          <cell r="D78">
            <v>8.28</v>
          </cell>
        </row>
        <row r="79">
          <cell r="A79" t="str">
            <v>West Perth Power Inc.  </v>
          </cell>
          <cell r="B79">
            <v>77</v>
          </cell>
          <cell r="C79">
            <v>0.62</v>
          </cell>
          <cell r="D79">
            <v>2.99</v>
          </cell>
        </row>
        <row r="80">
          <cell r="A80" t="str">
            <v>Westario Power Inc.   </v>
          </cell>
          <cell r="B80">
            <v>78</v>
          </cell>
          <cell r="C80">
            <v>4.24</v>
          </cell>
          <cell r="D80">
            <v>20.95</v>
          </cell>
        </row>
        <row r="81">
          <cell r="A81" t="str">
            <v>Whitby Hydro Electric Corporation  </v>
          </cell>
          <cell r="B81">
            <v>79</v>
          </cell>
          <cell r="C81">
            <v>10.9</v>
          </cell>
          <cell r="D81">
            <v>39.07</v>
          </cell>
        </row>
        <row r="82">
          <cell r="A82" t="str">
            <v>Woodstock Hydro Services Inc.  </v>
          </cell>
          <cell r="B82">
            <v>80</v>
          </cell>
          <cell r="C82">
            <v>4.49</v>
          </cell>
          <cell r="D82">
            <v>18.88</v>
          </cell>
        </row>
        <row r="83">
          <cell r="B83" t="str">
            <v>Total</v>
          </cell>
          <cell r="C83">
            <v>1330.04</v>
          </cell>
          <cell r="D83">
            <v>5999.97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9.xml" /><Relationship Id="rId2"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0.xml" /><Relationship Id="rId2"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hyperlink" Target="https://www.oeb.ca/industry/rules-codes-and-requirements/prescribed-interest-rates" TargetMode="External" /><Relationship Id="rId2" Type="http://schemas.openxmlformats.org/officeDocument/2006/relationships/drawing" Target="../drawings/drawing11.x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2.xml" /><Relationship Id="rId2"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3.xml" /><Relationship Id="rId2"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5" Type="http://schemas.openxmlformats.org/officeDocument/2006/relationships/ctrlProp" Target="../ctrProps/ctrProp5.xml" /><Relationship Id="rId1" Type="http://schemas.openxmlformats.org/officeDocument/2006/relationships/ctrlProp" Target="../ctrProps/ctrProp1.xml" /><Relationship Id="rId2" Type="http://schemas.openxmlformats.org/officeDocument/2006/relationships/ctrlProp" Target="../ctrProps/ctrProp2.xml" /><Relationship Id="rId8" Type="http://schemas.openxmlformats.org/officeDocument/2006/relationships/ctrlProp" Target="../ctrProps/ctrProp8.xml" /><Relationship Id="rId4" Type="http://schemas.openxmlformats.org/officeDocument/2006/relationships/ctrlProp" Target="../ctrProps/ctrProp4.xml" /><Relationship Id="rId9" Type="http://schemas.openxmlformats.org/officeDocument/2006/relationships/drawing" Target="../drawings/drawing4.xml" /><Relationship Id="rId6" Type="http://schemas.openxmlformats.org/officeDocument/2006/relationships/ctrlProp" Target="../ctrProps/ctrProp6.xml" /><Relationship Id="rId10" Type="http://schemas.openxmlformats.org/officeDocument/2006/relationships/vmlDrawing" Target="../drawings/vmlDrawing1.vml" /><Relationship Id="rId11" Type="http://schemas.openxmlformats.org/officeDocument/2006/relationships/printerSettings" Target="../printerSettings/printerSettings5.bin" /><Relationship Id="rId3" Type="http://schemas.openxmlformats.org/officeDocument/2006/relationships/ctrlProp" Target="../ctrProps/ctrProp3.xml" /><Relationship Id="rId7" Type="http://schemas.openxmlformats.org/officeDocument/2006/relationships/ctrlProp" Target="../ctrProps/ctrProp7.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6.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7.xml" /><Relationship Id="rId2"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D157"/>
  <sheetViews>
    <sheetView zoomScale="90" zoomScaleNormal="90" workbookViewId="0" topLeftCell="A138">
      <selection pane="topLeft" activeCell="F177" sqref="F177"/>
    </sheetView>
  </sheetViews>
  <sheetFormatPr defaultColWidth="9.00428571428571" defaultRowHeight="14.5"/>
  <cols>
    <col min="1" max="1" width="9" style="9"/>
    <col min="2" max="2" width="32" style="27" customWidth="1"/>
    <col min="3" max="3" width="114.428571428571" style="9" customWidth="1"/>
    <col min="4" max="4" width="8" style="9" customWidth="1"/>
    <col min="5" max="16384" width="9" style="9"/>
  </cols>
  <sheetData>
    <row r="1" ht="174" customHeight="1"/>
    <row r="3" spans="2:3" ht="20">
      <c r="B3" s="845" t="s">
        <v>174</v>
      </c>
      <c r="C3" s="845"/>
    </row>
    <row r="4" ht="11.25" customHeight="1"/>
    <row r="5" spans="2:3" s="30" customFormat="1" ht="25.5" customHeight="1">
      <c r="B5" s="60" t="s">
        <v>419</v>
      </c>
      <c r="C5" s="60" t="s">
        <v>173</v>
      </c>
    </row>
    <row r="6" spans="1:3" s="176" customFormat="1" ht="48" customHeight="1">
      <c r="A6" s="241"/>
      <c r="B6" s="611" t="s">
        <v>170</v>
      </c>
      <c r="C6" s="663" t="s">
        <v>598</v>
      </c>
    </row>
    <row r="7" spans="1:3" s="176" customFormat="1" ht="21" customHeight="1">
      <c r="A7" s="241"/>
      <c r="B7" s="605" t="s">
        <v>551</v>
      </c>
      <c r="C7" s="664" t="s">
        <v>611</v>
      </c>
    </row>
    <row r="8" spans="2:3" s="176" customFormat="1" ht="32.25" customHeight="1">
      <c r="B8" s="605" t="s">
        <v>367</v>
      </c>
      <c r="C8" s="665" t="s">
        <v>599</v>
      </c>
    </row>
    <row r="9" spans="2:3" s="176" customFormat="1" ht="27.75" customHeight="1">
      <c r="B9" s="605" t="s">
        <v>169</v>
      </c>
      <c r="C9" s="665" t="s">
        <v>600</v>
      </c>
    </row>
    <row r="10" spans="2:3" s="176" customFormat="1" ht="33" customHeight="1">
      <c r="B10" s="605" t="s">
        <v>596</v>
      </c>
      <c r="C10" s="664" t="s">
        <v>604</v>
      </c>
    </row>
    <row r="11" spans="2:3" s="176" customFormat="1" ht="26.25" customHeight="1">
      <c r="B11" s="620" t="s">
        <v>368</v>
      </c>
      <c r="C11" s="667" t="s">
        <v>601</v>
      </c>
    </row>
    <row r="12" spans="2:3" s="176" customFormat="1" ht="39.75" customHeight="1">
      <c r="B12" s="605" t="s">
        <v>369</v>
      </c>
      <c r="C12" s="665" t="s">
        <v>602</v>
      </c>
    </row>
    <row r="13" spans="2:3" s="176" customFormat="1" ht="18" customHeight="1">
      <c r="B13" s="605" t="s">
        <v>370</v>
      </c>
      <c r="C13" s="665" t="s">
        <v>603</v>
      </c>
    </row>
    <row r="14" spans="2:3" s="176" customFormat="1" ht="13.5" customHeight="1">
      <c r="B14" s="605"/>
      <c r="C14" s="666"/>
    </row>
    <row r="15" spans="2:3" s="176" customFormat="1" ht="18" customHeight="1">
      <c r="B15" s="605" t="s">
        <v>667</v>
      </c>
      <c r="C15" s="664" t="s">
        <v>665</v>
      </c>
    </row>
    <row r="16" spans="2:3" s="176" customFormat="1" ht="8.25" customHeight="1">
      <c r="B16" s="605"/>
      <c r="C16" s="666"/>
    </row>
    <row r="17" spans="2:3" s="176" customFormat="1" ht="33" customHeight="1">
      <c r="B17" s="668" t="s">
        <v>597</v>
      </c>
      <c r="C17" s="669" t="s">
        <v>666</v>
      </c>
    </row>
    <row r="18" spans="2:2" s="103" customFormat="1" ht="15.5">
      <c r="B18" s="176"/>
    </row>
    <row r="19" spans="2:2" s="32" customFormat="1" ht="14.5">
      <c r="B19" s="42"/>
    </row>
    <row r="157" spans="4:4" ht="14.5">
      <c r="D157" s="841"/>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5" right="0.708661417322835" top="0.748031496062992" bottom="0.748031496062992" header="0.31496062992126" footer="0.31496062992126"/>
  <pageSetup fitToHeight="0" horizontalDpi="1200" verticalDpi="1200" orientation="landscape" scale="74" r:id="rId2"/>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3:AP534"/>
  <sheetViews>
    <sheetView zoomScale="90" zoomScaleNormal="90" zoomScaleSheetLayoutView="80" zoomScalePageLayoutView="85" workbookViewId="0" topLeftCell="A150">
      <selection pane="topLeft" activeCell="O173" sqref="O173"/>
    </sheetView>
  </sheetViews>
  <sheetFormatPr defaultColWidth="9.00428571428571" defaultRowHeight="14" outlineLevelRow="1" outlineLevelCol="1"/>
  <cols>
    <col min="1" max="1" width="4.57142857142857" style="503" customWidth="1"/>
    <col min="2" max="2" width="43.5714285714286" style="254" customWidth="1"/>
    <col min="3" max="3" width="14" style="254" customWidth="1"/>
    <col min="4" max="4" width="18" style="253" customWidth="1"/>
    <col min="5" max="8" width="10.4285714285714" style="253" customWidth="1" outlineLevel="1"/>
    <col min="9" max="13" width="10.1428571428571" style="253" bestFit="1" customWidth="1" outlineLevel="1"/>
    <col min="14" max="14" width="12.4285714285714" style="253" customWidth="1" outlineLevel="1"/>
    <col min="15" max="15" width="17.5714285714286" style="253" customWidth="1"/>
    <col min="16" max="24" width="9.42857142857143" style="253" customWidth="1" outlineLevel="1"/>
    <col min="25" max="25" width="14" style="255" customWidth="1"/>
    <col min="26" max="26" width="14.5714285714286" style="255" customWidth="1"/>
    <col min="27" max="27" width="17" style="255" customWidth="1"/>
    <col min="28" max="28" width="17.5714285714286" style="255" customWidth="1"/>
    <col min="29" max="35" width="14.5714285714286" style="255" customWidth="1"/>
    <col min="36" max="38" width="15" style="255" customWidth="1"/>
    <col min="39" max="39" width="14.4285714285714" style="256" customWidth="1"/>
    <col min="40" max="40" width="14.5714285714286" style="253" customWidth="1"/>
    <col min="41" max="41" width="15" style="253" customWidth="1"/>
    <col min="42" max="42" width="14" style="253" customWidth="1"/>
    <col min="43" max="43" width="9.57142857142857" style="253" customWidth="1"/>
    <col min="44" max="44" width="11" style="253" customWidth="1"/>
    <col min="45" max="45" width="12" style="253" customWidth="1"/>
    <col min="46" max="46" width="6.42857142857143" style="253" bestFit="1" customWidth="1"/>
    <col min="47" max="51" width="9" style="253"/>
    <col min="52" max="52" width="6.42857142857143" style="253" bestFit="1" customWidth="1"/>
    <col min="53" max="16384" width="9" style="253"/>
  </cols>
  <sheetData>
    <row r="1" ht="164.25" customHeight="1"/>
    <row r="2" ht="23.25" customHeight="1" thickBot="1"/>
    <row r="3" spans="2:39" ht="25.5" customHeight="1" thickBot="1">
      <c r="B3" s="912" t="s">
        <v>171</v>
      </c>
      <c r="C3" s="257" t="s">
        <v>175</v>
      </c>
      <c r="D3" s="501"/>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2:39" ht="24" customHeight="1" thickBot="1">
      <c r="B4" s="91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2:39" ht="29.25" customHeight="1" thickBot="1">
      <c r="B5" s="558"/>
      <c r="C5" s="894" t="s">
        <v>550</v>
      </c>
      <c r="D5" s="89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2: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2:38" ht="70.5" customHeight="1">
      <c r="B7" s="912" t="s">
        <v>504</v>
      </c>
      <c r="C7" s="911" t="s">
        <v>630</v>
      </c>
      <c r="D7" s="911"/>
      <c r="E7" s="911"/>
      <c r="F7" s="911"/>
      <c r="G7" s="911"/>
      <c r="H7" s="911"/>
      <c r="I7" s="911"/>
      <c r="J7" s="911"/>
      <c r="K7" s="911"/>
      <c r="L7" s="911"/>
      <c r="M7" s="911"/>
      <c r="N7" s="911"/>
      <c r="O7" s="911"/>
      <c r="P7" s="911"/>
      <c r="Q7" s="911"/>
      <c r="R7" s="911"/>
      <c r="S7" s="911"/>
      <c r="T7" s="911"/>
      <c r="U7" s="911"/>
      <c r="V7" s="911"/>
      <c r="W7" s="911"/>
      <c r="X7" s="911"/>
      <c r="Y7" s="599"/>
      <c r="Z7" s="599"/>
      <c r="AA7" s="599"/>
      <c r="AB7" s="599"/>
      <c r="AC7" s="599"/>
      <c r="AD7" s="599"/>
      <c r="AE7" s="270"/>
      <c r="AF7" s="270"/>
      <c r="AG7" s="270"/>
      <c r="AH7" s="270"/>
      <c r="AI7" s="270"/>
      <c r="AJ7" s="270"/>
      <c r="AK7" s="270"/>
      <c r="AL7" s="270"/>
    </row>
    <row r="8" spans="1:39" s="271" customFormat="1" ht="58.5" customHeight="1">
      <c r="A8" s="503"/>
      <c r="B8" s="912"/>
      <c r="C8" s="911" t="s">
        <v>568</v>
      </c>
      <c r="D8" s="911"/>
      <c r="E8" s="911"/>
      <c r="F8" s="911"/>
      <c r="G8" s="911"/>
      <c r="H8" s="911"/>
      <c r="I8" s="911"/>
      <c r="J8" s="911"/>
      <c r="K8" s="911"/>
      <c r="L8" s="911"/>
      <c r="M8" s="911"/>
      <c r="N8" s="911"/>
      <c r="O8" s="911"/>
      <c r="P8" s="911"/>
      <c r="Q8" s="911"/>
      <c r="R8" s="911"/>
      <c r="S8" s="911"/>
      <c r="T8" s="911"/>
      <c r="U8" s="911"/>
      <c r="V8" s="911"/>
      <c r="W8" s="911"/>
      <c r="X8" s="911"/>
      <c r="Y8" s="599"/>
      <c r="Z8" s="599"/>
      <c r="AA8" s="599"/>
      <c r="AB8" s="599"/>
      <c r="AC8" s="599"/>
      <c r="AD8" s="599"/>
      <c r="AE8" s="272"/>
      <c r="AF8" s="255"/>
      <c r="AG8" s="255"/>
      <c r="AH8" s="255"/>
      <c r="AI8" s="255"/>
      <c r="AJ8" s="255"/>
      <c r="AK8" s="255"/>
      <c r="AL8" s="255"/>
      <c r="AM8" s="256"/>
    </row>
    <row r="9" spans="1:39" s="271" customFormat="1" ht="57.75" customHeight="1">
      <c r="A9" s="503"/>
      <c r="B9" s="273"/>
      <c r="C9" s="911" t="s">
        <v>567</v>
      </c>
      <c r="D9" s="911"/>
      <c r="E9" s="911"/>
      <c r="F9" s="911"/>
      <c r="G9" s="911"/>
      <c r="H9" s="911"/>
      <c r="I9" s="911"/>
      <c r="J9" s="911"/>
      <c r="K9" s="911"/>
      <c r="L9" s="911"/>
      <c r="M9" s="911"/>
      <c r="N9" s="911"/>
      <c r="O9" s="911"/>
      <c r="P9" s="911"/>
      <c r="Q9" s="911"/>
      <c r="R9" s="911"/>
      <c r="S9" s="911"/>
      <c r="T9" s="911"/>
      <c r="U9" s="911"/>
      <c r="V9" s="911"/>
      <c r="W9" s="911"/>
      <c r="X9" s="911"/>
      <c r="Y9" s="599"/>
      <c r="Z9" s="599"/>
      <c r="AA9" s="599"/>
      <c r="AB9" s="599"/>
      <c r="AC9" s="599"/>
      <c r="AD9" s="599"/>
      <c r="AE9" s="272"/>
      <c r="AF9" s="255"/>
      <c r="AG9" s="255"/>
      <c r="AH9" s="255"/>
      <c r="AI9" s="255"/>
      <c r="AJ9" s="255"/>
      <c r="AK9" s="255"/>
      <c r="AL9" s="255"/>
      <c r="AM9" s="256"/>
    </row>
    <row r="10" spans="2:38" ht="41.25" customHeight="1">
      <c r="B10" s="275"/>
      <c r="C10" s="911" t="s">
        <v>633</v>
      </c>
      <c r="D10" s="911"/>
      <c r="E10" s="911"/>
      <c r="F10" s="911"/>
      <c r="G10" s="911"/>
      <c r="H10" s="911"/>
      <c r="I10" s="911"/>
      <c r="J10" s="911"/>
      <c r="K10" s="911"/>
      <c r="L10" s="911"/>
      <c r="M10" s="911"/>
      <c r="N10" s="911"/>
      <c r="O10" s="911"/>
      <c r="P10" s="911"/>
      <c r="Q10" s="911"/>
      <c r="R10" s="911"/>
      <c r="S10" s="911"/>
      <c r="T10" s="911"/>
      <c r="U10" s="911"/>
      <c r="V10" s="911"/>
      <c r="W10" s="911"/>
      <c r="X10" s="911"/>
      <c r="Y10" s="599"/>
      <c r="Z10" s="599"/>
      <c r="AA10" s="599"/>
      <c r="AB10" s="599"/>
      <c r="AC10" s="599"/>
      <c r="AD10" s="599"/>
      <c r="AE10" s="272"/>
      <c r="AF10" s="276"/>
      <c r="AG10" s="276"/>
      <c r="AH10" s="276"/>
      <c r="AI10" s="276"/>
      <c r="AJ10" s="276"/>
      <c r="AK10" s="276"/>
      <c r="AL10" s="276"/>
    </row>
    <row r="11" spans="3:39" ht="53.25" customHeight="1">
      <c r="C11" s="911" t="s">
        <v>618</v>
      </c>
      <c r="D11" s="911"/>
      <c r="E11" s="911"/>
      <c r="F11" s="911"/>
      <c r="G11" s="911"/>
      <c r="H11" s="911"/>
      <c r="I11" s="911"/>
      <c r="J11" s="911"/>
      <c r="K11" s="911"/>
      <c r="L11" s="911"/>
      <c r="M11" s="911"/>
      <c r="N11" s="911"/>
      <c r="O11" s="911"/>
      <c r="P11" s="911"/>
      <c r="Q11" s="911"/>
      <c r="R11" s="911"/>
      <c r="S11" s="911"/>
      <c r="T11" s="911"/>
      <c r="U11" s="911"/>
      <c r="V11" s="911"/>
      <c r="W11" s="911"/>
      <c r="X11" s="911"/>
      <c r="Y11" s="599"/>
      <c r="Z11" s="599"/>
      <c r="AA11" s="599"/>
      <c r="AB11" s="599"/>
      <c r="AC11" s="599"/>
      <c r="AD11" s="599"/>
      <c r="AE11" s="272"/>
      <c r="AF11" s="276"/>
      <c r="AG11" s="276"/>
      <c r="AH11" s="276"/>
      <c r="AI11" s="276"/>
      <c r="AJ11" s="276"/>
      <c r="AK11" s="276"/>
      <c r="AL11" s="276"/>
      <c r="AM11" s="253"/>
    </row>
    <row r="12" spans="3: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2:39" ht="20.25" customHeight="1">
      <c r="B13" s="912" t="s">
        <v>526</v>
      </c>
      <c r="C13" s="584" t="s">
        <v>521</v>
      </c>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272"/>
      <c r="AF13" s="276"/>
      <c r="AG13" s="276"/>
      <c r="AH13" s="276"/>
      <c r="AI13" s="276"/>
      <c r="AJ13" s="276"/>
      <c r="AK13" s="276"/>
      <c r="AL13" s="276"/>
      <c r="AM13" s="253"/>
    </row>
    <row r="14" spans="2:39" ht="20.25" customHeight="1">
      <c r="B14" s="912"/>
      <c r="C14" s="584" t="s">
        <v>522</v>
      </c>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272"/>
      <c r="AF14" s="276"/>
      <c r="AG14" s="276"/>
      <c r="AH14" s="276"/>
      <c r="AI14" s="276"/>
      <c r="AJ14" s="276"/>
      <c r="AK14" s="276"/>
      <c r="AL14" s="276"/>
      <c r="AM14" s="253"/>
    </row>
    <row r="15" spans="3:39" ht="20.25" customHeight="1">
      <c r="C15" s="584" t="s">
        <v>523</v>
      </c>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272"/>
      <c r="AF15" s="276"/>
      <c r="AG15" s="276"/>
      <c r="AH15" s="276"/>
      <c r="AI15" s="276"/>
      <c r="AJ15" s="276"/>
      <c r="AK15" s="276"/>
      <c r="AL15" s="276"/>
      <c r="AM15" s="253"/>
    </row>
    <row r="16" spans="3:39" ht="20.25" customHeight="1">
      <c r="C16" s="584" t="s">
        <v>524</v>
      </c>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272"/>
      <c r="AF16" s="276"/>
      <c r="AG16" s="276"/>
      <c r="AH16" s="276"/>
      <c r="AI16" s="276"/>
      <c r="AJ16" s="276"/>
      <c r="AK16" s="276"/>
      <c r="AL16" s="276"/>
      <c r="AM16" s="253"/>
    </row>
    <row r="17" spans="2:25"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2:39" ht="15.5">
      <c r="B18" s="280" t="s">
        <v>241</v>
      </c>
      <c r="C18" s="281"/>
      <c r="E18" s="583"/>
      <c r="O18" s="281"/>
      <c r="Y18" s="270"/>
      <c r="Z18" s="267"/>
      <c r="AA18" s="267"/>
      <c r="AB18" s="267"/>
      <c r="AC18" s="267"/>
      <c r="AD18" s="267"/>
      <c r="AE18" s="267"/>
      <c r="AF18" s="267"/>
      <c r="AG18" s="267"/>
      <c r="AH18" s="267"/>
      <c r="AI18" s="267"/>
      <c r="AJ18" s="267"/>
      <c r="AK18" s="267"/>
      <c r="AL18" s="267"/>
      <c r="AM18" s="282"/>
    </row>
    <row r="19" spans="1:39" s="283" customFormat="1" ht="36" customHeight="1">
      <c r="A19" s="503"/>
      <c r="B19" s="902" t="s">
        <v>211</v>
      </c>
      <c r="C19" s="904" t="s">
        <v>33</v>
      </c>
      <c r="D19" s="284" t="s">
        <v>421</v>
      </c>
      <c r="E19" s="906" t="s">
        <v>209</v>
      </c>
      <c r="F19" s="907"/>
      <c r="G19" s="907"/>
      <c r="H19" s="907"/>
      <c r="I19" s="907"/>
      <c r="J19" s="907"/>
      <c r="K19" s="907"/>
      <c r="L19" s="907"/>
      <c r="M19" s="908"/>
      <c r="N19" s="909" t="s">
        <v>213</v>
      </c>
      <c r="O19" s="284" t="s">
        <v>422</v>
      </c>
      <c r="P19" s="906" t="s">
        <v>212</v>
      </c>
      <c r="Q19" s="907"/>
      <c r="R19" s="907"/>
      <c r="S19" s="907"/>
      <c r="T19" s="907"/>
      <c r="U19" s="907"/>
      <c r="V19" s="907"/>
      <c r="W19" s="907"/>
      <c r="X19" s="908"/>
      <c r="Y19" s="899" t="s">
        <v>243</v>
      </c>
      <c r="Z19" s="900"/>
      <c r="AA19" s="900"/>
      <c r="AB19" s="900"/>
      <c r="AC19" s="900"/>
      <c r="AD19" s="900"/>
      <c r="AE19" s="900"/>
      <c r="AF19" s="900"/>
      <c r="AG19" s="900"/>
      <c r="AH19" s="900"/>
      <c r="AI19" s="900"/>
      <c r="AJ19" s="900"/>
      <c r="AK19" s="900"/>
      <c r="AL19" s="900"/>
      <c r="AM19" s="901"/>
    </row>
    <row r="20" spans="1:39" s="283" customFormat="1" ht="59.25" customHeight="1">
      <c r="A20" s="503"/>
      <c r="B20" s="903"/>
      <c r="C20" s="905"/>
      <c r="D20" s="285">
        <v>2011</v>
      </c>
      <c r="E20" s="285">
        <v>2012</v>
      </c>
      <c r="F20" s="285">
        <v>2013</v>
      </c>
      <c r="G20" s="285">
        <v>2014</v>
      </c>
      <c r="H20" s="285">
        <v>2015</v>
      </c>
      <c r="I20" s="285">
        <v>2016</v>
      </c>
      <c r="J20" s="285">
        <v>2017</v>
      </c>
      <c r="K20" s="285">
        <v>2018</v>
      </c>
      <c r="L20" s="285">
        <v>2019</v>
      </c>
      <c r="M20" s="285">
        <v>2020</v>
      </c>
      <c r="N20" s="91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50 - 999 kW</v>
      </c>
      <c r="AB20" s="286" t="str">
        <f>'1.  LRAMVA Summary'!G52</f>
        <v>GS 1,000 - 4,999 kW</v>
      </c>
      <c r="AC20" s="286" t="str">
        <f>'1.  LRAMVA Summary'!H52</f>
        <v>USL</v>
      </c>
      <c r="AD20" s="286" t="str">
        <f>'1.  LRAMVA Summary'!I52</f>
        <v>Sentinel Lighting</v>
      </c>
      <c r="AE20" s="286" t="str">
        <f>'1.  LRAMVA Summary'!J52</f>
        <v>Street Lighting</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4"/>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3">
        <v>1</v>
      </c>
      <c r="B22" s="294" t="s">
        <v>1</v>
      </c>
      <c r="C22" s="291" t="s">
        <v>25</v>
      </c>
      <c r="D22" s="295">
        <f>'7.  Persistence Report'!AQ28</f>
        <v>94293.954810742347</v>
      </c>
      <c r="E22" s="295">
        <f>'7.  Persistence Report'!AR28</f>
        <v>94293.954810742347</v>
      </c>
      <c r="F22" s="295">
        <f>'7.  Persistence Report'!AS28</f>
        <v>94293.954810742347</v>
      </c>
      <c r="G22" s="295">
        <f>'7.  Persistence Report'!AT28</f>
        <v>93889.332050187164</v>
      </c>
      <c r="H22" s="295">
        <f>'7.  Persistence Report'!AU28</f>
        <v>65662.06723699157</v>
      </c>
      <c r="I22" s="295">
        <f>'7.  Persistence Report'!AV28</f>
        <v>0</v>
      </c>
      <c r="J22" s="295">
        <f>'7.  Persistence Report'!AW28</f>
        <v>0</v>
      </c>
      <c r="K22" s="295">
        <f>'7.  Persistence Report'!AX28</f>
        <v>0</v>
      </c>
      <c r="L22" s="295">
        <f>'7.  Persistence Report'!AY28</f>
        <v>0</v>
      </c>
      <c r="M22" s="295">
        <f>'7.  Persistence Report'!AZ28</f>
        <v>0</v>
      </c>
      <c r="N22" s="750"/>
      <c r="O22" s="295">
        <f>'7.  Persistence Report'!L28</f>
        <v>13.143572862414077</v>
      </c>
      <c r="P22" s="295">
        <f>'7.  Persistence Report'!M28</f>
        <v>13.143572862414077</v>
      </c>
      <c r="Q22" s="295">
        <f>'7.  Persistence Report'!N28</f>
        <v>13.143572862414077</v>
      </c>
      <c r="R22" s="295">
        <f>'7.  Persistence Report'!O28</f>
        <v>12.691103462922259</v>
      </c>
      <c r="S22" s="295">
        <f>'7.  Persistence Report'!P28</f>
        <v>8.6332304347704252</v>
      </c>
      <c r="T22" s="295">
        <f>'7.  Persistence Report'!Q28</f>
        <v>0</v>
      </c>
      <c r="U22" s="295">
        <f>'7.  Persistence Report'!R28</f>
        <v>0</v>
      </c>
      <c r="V22" s="295">
        <f>'7.  Persistence Report'!S28</f>
        <v>0</v>
      </c>
      <c r="W22" s="295">
        <f>'7.  Persistence Report'!T28</f>
        <v>0</v>
      </c>
      <c r="X22" s="295">
        <f>'7.  Persistence Report'!U28</f>
        <v>0</v>
      </c>
      <c r="Y22" s="759">
        <v>1</v>
      </c>
      <c r="Z22" s="759"/>
      <c r="AA22" s="759"/>
      <c r="AB22" s="759"/>
      <c r="AC22" s="759"/>
      <c r="AD22" s="759"/>
      <c r="AE22" s="759"/>
      <c r="AF22" s="409"/>
      <c r="AG22" s="409"/>
      <c r="AH22" s="409"/>
      <c r="AI22" s="409"/>
      <c r="AJ22" s="409"/>
      <c r="AK22" s="409"/>
      <c r="AL22" s="409"/>
      <c r="AM22" s="296">
        <f>SUM(Y22:AL22)</f>
        <v>1</v>
      </c>
    </row>
    <row r="23" spans="1:39" s="283" customFormat="1" ht="15.5" outlineLevel="1">
      <c r="A23" s="503"/>
      <c r="B23" s="294" t="s">
        <v>214</v>
      </c>
      <c r="C23" s="291" t="s">
        <v>163</v>
      </c>
      <c r="D23" s="295"/>
      <c r="E23" s="295"/>
      <c r="F23" s="295"/>
      <c r="G23" s="295"/>
      <c r="H23" s="295"/>
      <c r="I23" s="295"/>
      <c r="J23" s="295"/>
      <c r="K23" s="295"/>
      <c r="L23" s="295"/>
      <c r="M23" s="295"/>
      <c r="N23" s="751"/>
      <c r="O23" s="295"/>
      <c r="P23" s="295"/>
      <c r="Q23" s="295"/>
      <c r="R23" s="295"/>
      <c r="S23" s="295"/>
      <c r="T23" s="295"/>
      <c r="U23" s="295"/>
      <c r="V23" s="295"/>
      <c r="W23" s="295"/>
      <c r="X23" s="295"/>
      <c r="Y23" s="760">
        <f>Y22</f>
        <v>1</v>
      </c>
      <c r="Z23" s="760">
        <f>Z22</f>
        <v>0</v>
      </c>
      <c r="AA23" s="760">
        <f t="shared" si="0" ref="AA23:AE23">AA22</f>
        <v>0</v>
      </c>
      <c r="AB23" s="760">
        <f t="shared" si="0"/>
        <v>0</v>
      </c>
      <c r="AC23" s="760">
        <f t="shared" si="0"/>
        <v>0</v>
      </c>
      <c r="AD23" s="760">
        <f t="shared" si="0"/>
        <v>0</v>
      </c>
      <c r="AE23" s="760">
        <f t="shared" si="0"/>
        <v>0</v>
      </c>
      <c r="AF23" s="410">
        <f t="shared" si="1" ref="AF23:AL23">AF22</f>
        <v>0</v>
      </c>
      <c r="AG23" s="410">
        <f t="shared" si="1"/>
        <v>0</v>
      </c>
      <c r="AH23" s="410">
        <f t="shared" si="1"/>
        <v>0</v>
      </c>
      <c r="AI23" s="410">
        <f t="shared" si="1"/>
        <v>0</v>
      </c>
      <c r="AJ23" s="410">
        <f t="shared" si="1"/>
        <v>0</v>
      </c>
      <c r="AK23" s="410">
        <f t="shared" si="1"/>
        <v>0</v>
      </c>
      <c r="AL23" s="410">
        <f t="shared" si="1"/>
        <v>0</v>
      </c>
      <c r="AM23" s="297"/>
    </row>
    <row r="24" spans="1:39" s="303" customFormat="1" ht="15.5" outlineLevel="1">
      <c r="A24" s="505"/>
      <c r="B24" s="298"/>
      <c r="C24" s="299"/>
      <c r="D24" s="752"/>
      <c r="E24" s="752"/>
      <c r="F24" s="752"/>
      <c r="G24" s="752"/>
      <c r="H24" s="752"/>
      <c r="I24" s="752"/>
      <c r="J24" s="752"/>
      <c r="K24" s="752"/>
      <c r="L24" s="752"/>
      <c r="M24" s="752"/>
      <c r="O24" s="752"/>
      <c r="P24" s="752"/>
      <c r="Q24" s="752"/>
      <c r="R24" s="752"/>
      <c r="S24" s="752"/>
      <c r="T24" s="752"/>
      <c r="U24" s="752"/>
      <c r="V24" s="752"/>
      <c r="W24" s="752"/>
      <c r="X24" s="752"/>
      <c r="Y24" s="761"/>
      <c r="Z24" s="762"/>
      <c r="AA24" s="762"/>
      <c r="AB24" s="762"/>
      <c r="AC24" s="762"/>
      <c r="AD24" s="762"/>
      <c r="AE24" s="762"/>
      <c r="AF24" s="412"/>
      <c r="AG24" s="412"/>
      <c r="AH24" s="412"/>
      <c r="AI24" s="412"/>
      <c r="AJ24" s="412"/>
      <c r="AK24" s="412"/>
      <c r="AL24" s="412"/>
      <c r="AM24" s="302"/>
    </row>
    <row r="25" spans="1:39" s="283" customFormat="1" ht="15.5" outlineLevel="1">
      <c r="A25" s="503">
        <v>2</v>
      </c>
      <c r="B25" s="294" t="s">
        <v>2</v>
      </c>
      <c r="C25" s="291" t="s">
        <v>25</v>
      </c>
      <c r="D25" s="295">
        <f>'7.  Persistence Report'!AQ27</f>
        <v>1191.8256694305676</v>
      </c>
      <c r="E25" s="295">
        <f>'7.  Persistence Report'!AR27</f>
        <v>1191.8256694305676</v>
      </c>
      <c r="F25" s="295">
        <f>'7.  Persistence Report'!AS27</f>
        <v>1191.8256694305676</v>
      </c>
      <c r="G25" s="295">
        <f>'7.  Persistence Report'!AT27</f>
        <v>311.74881627297452</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750"/>
      <c r="O25" s="295">
        <f>'7.  Persistence Report'!L27</f>
        <v>1.15898497970758</v>
      </c>
      <c r="P25" s="295">
        <f>'7.  Persistence Report'!M27</f>
        <v>1.15898497970758</v>
      </c>
      <c r="Q25" s="295">
        <f>'7.  Persistence Report'!N27</f>
        <v>1.15898497970758</v>
      </c>
      <c r="R25" s="295">
        <f>'7.  Persistence Report'!O27</f>
        <v>0.17483904409957066</v>
      </c>
      <c r="S25" s="295">
        <f>'7.  Persistence Report'!P27</f>
        <v>0</v>
      </c>
      <c r="T25" s="295">
        <f>'7.  Persistence Report'!Q27</f>
        <v>0</v>
      </c>
      <c r="U25" s="295">
        <f>'7.  Persistence Report'!R27</f>
        <v>0</v>
      </c>
      <c r="V25" s="295">
        <f>'7.  Persistence Report'!S27</f>
        <v>0</v>
      </c>
      <c r="W25" s="295">
        <f>'7.  Persistence Report'!T27</f>
        <v>0</v>
      </c>
      <c r="X25" s="295">
        <f>'7.  Persistence Report'!U27</f>
        <v>0</v>
      </c>
      <c r="Y25" s="759">
        <v>1</v>
      </c>
      <c r="Z25" s="759"/>
      <c r="AA25" s="759"/>
      <c r="AB25" s="759"/>
      <c r="AC25" s="759"/>
      <c r="AD25" s="759"/>
      <c r="AE25" s="759"/>
      <c r="AF25" s="409"/>
      <c r="AG25" s="409"/>
      <c r="AH25" s="409"/>
      <c r="AI25" s="409"/>
      <c r="AJ25" s="409"/>
      <c r="AK25" s="409"/>
      <c r="AL25" s="409"/>
      <c r="AM25" s="296">
        <f>SUM(Y25:AL25)</f>
        <v>1</v>
      </c>
    </row>
    <row r="26" spans="1:39" s="283" customFormat="1" ht="15.5" outlineLevel="1">
      <c r="A26" s="503"/>
      <c r="B26" s="294" t="s">
        <v>214</v>
      </c>
      <c r="C26" s="291" t="s">
        <v>163</v>
      </c>
      <c r="D26" s="295"/>
      <c r="E26" s="295"/>
      <c r="F26" s="295"/>
      <c r="G26" s="295"/>
      <c r="H26" s="295"/>
      <c r="I26" s="295"/>
      <c r="J26" s="295"/>
      <c r="K26" s="295"/>
      <c r="L26" s="295"/>
      <c r="M26" s="295"/>
      <c r="N26" s="751"/>
      <c r="O26" s="295"/>
      <c r="P26" s="295"/>
      <c r="Q26" s="295"/>
      <c r="R26" s="295"/>
      <c r="S26" s="295"/>
      <c r="T26" s="295"/>
      <c r="U26" s="295"/>
      <c r="V26" s="295"/>
      <c r="W26" s="295"/>
      <c r="X26" s="295"/>
      <c r="Y26" s="760">
        <f>Y25</f>
        <v>1</v>
      </c>
      <c r="Z26" s="760">
        <f>Z25</f>
        <v>0</v>
      </c>
      <c r="AA26" s="760">
        <f t="shared" si="2" ref="AA26:AE26">AA25</f>
        <v>0</v>
      </c>
      <c r="AB26" s="760">
        <f t="shared" si="2"/>
        <v>0</v>
      </c>
      <c r="AC26" s="760">
        <f t="shared" si="2"/>
        <v>0</v>
      </c>
      <c r="AD26" s="760">
        <f t="shared" si="2"/>
        <v>0</v>
      </c>
      <c r="AE26" s="760">
        <f t="shared" si="2"/>
        <v>0</v>
      </c>
      <c r="AF26" s="410">
        <f t="shared" si="3" ref="AF26:AL26">AF25</f>
        <v>0</v>
      </c>
      <c r="AG26" s="410">
        <f t="shared" si="3"/>
        <v>0</v>
      </c>
      <c r="AH26" s="410">
        <f t="shared" si="3"/>
        <v>0</v>
      </c>
      <c r="AI26" s="410">
        <f t="shared" si="3"/>
        <v>0</v>
      </c>
      <c r="AJ26" s="410">
        <f t="shared" si="3"/>
        <v>0</v>
      </c>
      <c r="AK26" s="410">
        <f t="shared" si="3"/>
        <v>0</v>
      </c>
      <c r="AL26" s="410">
        <f t="shared" si="3"/>
        <v>0</v>
      </c>
      <c r="AM26" s="297"/>
    </row>
    <row r="27" spans="1:39" s="303" customFormat="1" ht="15.5" outlineLevel="1">
      <c r="A27" s="505"/>
      <c r="B27" s="298"/>
      <c r="C27" s="299"/>
      <c r="D27" s="753"/>
      <c r="E27" s="753"/>
      <c r="F27" s="753"/>
      <c r="G27" s="753"/>
      <c r="H27" s="753"/>
      <c r="I27" s="753"/>
      <c r="J27" s="753"/>
      <c r="K27" s="753"/>
      <c r="L27" s="753"/>
      <c r="M27" s="753"/>
      <c r="O27" s="753"/>
      <c r="P27" s="753"/>
      <c r="Q27" s="753"/>
      <c r="R27" s="753"/>
      <c r="S27" s="753"/>
      <c r="T27" s="753"/>
      <c r="U27" s="753"/>
      <c r="V27" s="753"/>
      <c r="W27" s="753"/>
      <c r="X27" s="753"/>
      <c r="Y27" s="761"/>
      <c r="Z27" s="762"/>
      <c r="AA27" s="762"/>
      <c r="AB27" s="762"/>
      <c r="AC27" s="762"/>
      <c r="AD27" s="762"/>
      <c r="AE27" s="762"/>
      <c r="AF27" s="412"/>
      <c r="AG27" s="412"/>
      <c r="AH27" s="412"/>
      <c r="AI27" s="412"/>
      <c r="AJ27" s="412"/>
      <c r="AK27" s="412"/>
      <c r="AL27" s="412"/>
      <c r="AM27" s="302"/>
    </row>
    <row r="28" spans="1:39" s="283" customFormat="1" ht="15.5" outlineLevel="1">
      <c r="A28" s="503">
        <v>3</v>
      </c>
      <c r="B28" s="294" t="s">
        <v>3</v>
      </c>
      <c r="C28" s="291" t="s">
        <v>25</v>
      </c>
      <c r="D28" s="295">
        <f>'7.  Persistence Report'!AQ31</f>
        <v>319153.51837209356</v>
      </c>
      <c r="E28" s="295">
        <f>'7.  Persistence Report'!AR31</f>
        <v>319153.51837209356</v>
      </c>
      <c r="F28" s="295">
        <f>'7.  Persistence Report'!AS31</f>
        <v>319153.51837209356</v>
      </c>
      <c r="G28" s="295">
        <f>'7.  Persistence Report'!AT31</f>
        <v>319153.51837209356</v>
      </c>
      <c r="H28" s="295">
        <f>'7.  Persistence Report'!AU31</f>
        <v>319153.51837209356</v>
      </c>
      <c r="I28" s="295">
        <f>'7.  Persistence Report'!AV31</f>
        <v>319153.51837209356</v>
      </c>
      <c r="J28" s="295">
        <f>'7.  Persistence Report'!AW31</f>
        <v>319153.51837209356</v>
      </c>
      <c r="K28" s="295">
        <f>'7.  Persistence Report'!AX31</f>
        <v>319153.51837209356</v>
      </c>
      <c r="L28" s="295">
        <f>'7.  Persistence Report'!AY31</f>
        <v>319153.51837209356</v>
      </c>
      <c r="M28" s="295">
        <f>'7.  Persistence Report'!AZ31</f>
        <v>319153.51837209356</v>
      </c>
      <c r="N28" s="750"/>
      <c r="O28" s="295">
        <f>'7.  Persistence Report'!L31</f>
        <v>173.52042719512525</v>
      </c>
      <c r="P28" s="295">
        <f>'7.  Persistence Report'!M31</f>
        <v>173.52042719512525</v>
      </c>
      <c r="Q28" s="295">
        <f>'7.  Persistence Report'!N31</f>
        <v>173.52042719512525</v>
      </c>
      <c r="R28" s="295">
        <f>'7.  Persistence Report'!O31</f>
        <v>173.52042719512525</v>
      </c>
      <c r="S28" s="295">
        <f>'7.  Persistence Report'!P31</f>
        <v>173.52042719512525</v>
      </c>
      <c r="T28" s="295">
        <f>'7.  Persistence Report'!Q31</f>
        <v>173.52042719512525</v>
      </c>
      <c r="U28" s="295">
        <f>'7.  Persistence Report'!R31</f>
        <v>173.52042719512525</v>
      </c>
      <c r="V28" s="295">
        <f>'7.  Persistence Report'!S31</f>
        <v>173.52042719512525</v>
      </c>
      <c r="W28" s="295">
        <f>'7.  Persistence Report'!T31</f>
        <v>173.52042719512525</v>
      </c>
      <c r="X28" s="295">
        <f>'7.  Persistence Report'!U31</f>
        <v>173.52042719512525</v>
      </c>
      <c r="Y28" s="759">
        <v>1</v>
      </c>
      <c r="Z28" s="759"/>
      <c r="AA28" s="759"/>
      <c r="AB28" s="759"/>
      <c r="AC28" s="759"/>
      <c r="AD28" s="759"/>
      <c r="AE28" s="759"/>
      <c r="AF28" s="409"/>
      <c r="AG28" s="409"/>
      <c r="AH28" s="409"/>
      <c r="AI28" s="409"/>
      <c r="AJ28" s="409"/>
      <c r="AK28" s="409"/>
      <c r="AL28" s="409"/>
      <c r="AM28" s="296">
        <f>SUM(Y28:AL28)</f>
        <v>1</v>
      </c>
    </row>
    <row r="29" spans="1:39" s="283" customFormat="1" ht="15.5" outlineLevel="1">
      <c r="A29" s="503"/>
      <c r="B29" s="294" t="s">
        <v>214</v>
      </c>
      <c r="C29" s="291" t="s">
        <v>163</v>
      </c>
      <c r="D29" s="295">
        <f>'7.  Persistence Report'!AQ41</f>
        <v>-70811.915790608255</v>
      </c>
      <c r="E29" s="295">
        <f>'7.  Persistence Report'!AR41</f>
        <v>-70811.915790608255</v>
      </c>
      <c r="F29" s="295">
        <f>'7.  Persistence Report'!AS41</f>
        <v>-70811.915790608255</v>
      </c>
      <c r="G29" s="295">
        <f>'7.  Persistence Report'!AT41</f>
        <v>-70811.915790608255</v>
      </c>
      <c r="H29" s="295">
        <f>'7.  Persistence Report'!AU41</f>
        <v>-70811.915790608255</v>
      </c>
      <c r="I29" s="295">
        <f>'7.  Persistence Report'!AV41</f>
        <v>-70811.915790608255</v>
      </c>
      <c r="J29" s="295">
        <f>'7.  Persistence Report'!AW41</f>
        <v>-70811.915790608255</v>
      </c>
      <c r="K29" s="295">
        <f>'7.  Persistence Report'!AX41</f>
        <v>-70811.915790608255</v>
      </c>
      <c r="L29" s="295">
        <f>'7.  Persistence Report'!AY41</f>
        <v>-70811.915790608255</v>
      </c>
      <c r="M29" s="295">
        <f>'7.  Persistence Report'!AZ41</f>
        <v>-70811.915790608255</v>
      </c>
      <c r="N29" s="751"/>
      <c r="O29" s="295">
        <f>'7.  Persistence Report'!L41</f>
        <v>-38.319810017765967</v>
      </c>
      <c r="P29" s="295">
        <f>'7.  Persistence Report'!M41</f>
        <v>-38.319810017765967</v>
      </c>
      <c r="Q29" s="295">
        <f>'7.  Persistence Report'!N41</f>
        <v>-38.319810017765967</v>
      </c>
      <c r="R29" s="295">
        <f>'7.  Persistence Report'!O41</f>
        <v>-38.319810017765967</v>
      </c>
      <c r="S29" s="295">
        <f>'7.  Persistence Report'!P41</f>
        <v>-38.319810017765967</v>
      </c>
      <c r="T29" s="295">
        <f>'7.  Persistence Report'!Q41</f>
        <v>-38.319810017765967</v>
      </c>
      <c r="U29" s="295">
        <f>'7.  Persistence Report'!R41</f>
        <v>-38.319810017765967</v>
      </c>
      <c r="V29" s="295">
        <f>'7.  Persistence Report'!S41</f>
        <v>-38.319810017765967</v>
      </c>
      <c r="W29" s="295">
        <f>'7.  Persistence Report'!T41</f>
        <v>-38.319810017765967</v>
      </c>
      <c r="X29" s="295">
        <f>'7.  Persistence Report'!U41</f>
        <v>-38.319810017765967</v>
      </c>
      <c r="Y29" s="760">
        <f>Y28</f>
        <v>1</v>
      </c>
      <c r="Z29" s="760">
        <f>Z28</f>
        <v>0</v>
      </c>
      <c r="AA29" s="760">
        <f t="shared" si="4" ref="AA29:AE29">AA28</f>
        <v>0</v>
      </c>
      <c r="AB29" s="760">
        <f t="shared" si="4"/>
        <v>0</v>
      </c>
      <c r="AC29" s="760">
        <f t="shared" si="4"/>
        <v>0</v>
      </c>
      <c r="AD29" s="760">
        <f t="shared" si="4"/>
        <v>0</v>
      </c>
      <c r="AE29" s="760">
        <f t="shared" si="4"/>
        <v>0</v>
      </c>
      <c r="AF29" s="410">
        <f t="shared" si="5" ref="AF29:AL29">AF28</f>
        <v>0</v>
      </c>
      <c r="AG29" s="410">
        <f t="shared" si="5"/>
        <v>0</v>
      </c>
      <c r="AH29" s="410">
        <f t="shared" si="5"/>
        <v>0</v>
      </c>
      <c r="AI29" s="410">
        <f t="shared" si="5"/>
        <v>0</v>
      </c>
      <c r="AJ29" s="410">
        <f t="shared" si="5"/>
        <v>0</v>
      </c>
      <c r="AK29" s="410">
        <f t="shared" si="5"/>
        <v>0</v>
      </c>
      <c r="AL29" s="410">
        <f t="shared" si="5"/>
        <v>0</v>
      </c>
      <c r="AM29" s="297"/>
    </row>
    <row r="30" spans="1:39" s="283" customFormat="1" ht="15.5" outlineLevel="1">
      <c r="A30" s="503"/>
      <c r="B30" s="294"/>
      <c r="C30" s="305"/>
      <c r="D30" s="750"/>
      <c r="E30" s="750"/>
      <c r="F30" s="750"/>
      <c r="G30" s="750"/>
      <c r="H30" s="750"/>
      <c r="I30" s="750"/>
      <c r="J30" s="750"/>
      <c r="K30" s="750"/>
      <c r="L30" s="750"/>
      <c r="M30" s="750"/>
      <c r="O30" s="750"/>
      <c r="P30" s="750"/>
      <c r="Q30" s="750"/>
      <c r="R30" s="750"/>
      <c r="S30" s="750"/>
      <c r="T30" s="750"/>
      <c r="U30" s="750"/>
      <c r="V30" s="750"/>
      <c r="W30" s="750"/>
      <c r="X30" s="750"/>
      <c r="Y30" s="761"/>
      <c r="Z30" s="761"/>
      <c r="AA30" s="761"/>
      <c r="AB30" s="761"/>
      <c r="AC30" s="761"/>
      <c r="AD30" s="761"/>
      <c r="AE30" s="761"/>
      <c r="AF30" s="411"/>
      <c r="AG30" s="411"/>
      <c r="AH30" s="411"/>
      <c r="AI30" s="411"/>
      <c r="AJ30" s="411"/>
      <c r="AK30" s="411"/>
      <c r="AL30" s="411"/>
      <c r="AM30" s="306"/>
    </row>
    <row r="31" spans="1:39" s="283" customFormat="1" ht="15.5" outlineLevel="1">
      <c r="A31" s="503">
        <v>4</v>
      </c>
      <c r="B31" s="294" t="s">
        <v>4</v>
      </c>
      <c r="C31" s="291" t="s">
        <v>25</v>
      </c>
      <c r="D31" s="295">
        <f>'7.  Persistence Report'!AQ30</f>
        <v>104255.86043777934</v>
      </c>
      <c r="E31" s="295">
        <f>'7.  Persistence Report'!AR30</f>
        <v>104255.86043777934</v>
      </c>
      <c r="F31" s="295">
        <f>'7.  Persistence Report'!AS30</f>
        <v>104255.86043777934</v>
      </c>
      <c r="G31" s="295">
        <f>'7.  Persistence Report'!AT30</f>
        <v>104255.86043777934</v>
      </c>
      <c r="H31" s="295">
        <f>'7.  Persistence Report'!AU30</f>
        <v>95989.702049951535</v>
      </c>
      <c r="I31" s="295">
        <f>'7.  Persistence Report'!AV30</f>
        <v>86959.272206199326</v>
      </c>
      <c r="J31" s="295">
        <f>'7.  Persistence Report'!AW30</f>
        <v>68113.963290560292</v>
      </c>
      <c r="K31" s="295">
        <f>'7.  Persistence Report'!AX30</f>
        <v>67684.360191001804</v>
      </c>
      <c r="L31" s="295">
        <f>'7.  Persistence Report'!AY30</f>
        <v>84980.948422581787</v>
      </c>
      <c r="M31" s="295">
        <f>'7.  Persistence Report'!AZ30</f>
        <v>33066.864912239223</v>
      </c>
      <c r="N31" s="750"/>
      <c r="O31" s="295">
        <f>'7.  Persistence Report'!L30</f>
        <v>6.4310738102669633</v>
      </c>
      <c r="P31" s="295">
        <f>'7.  Persistence Report'!M30</f>
        <v>6.4310738102669633</v>
      </c>
      <c r="Q31" s="295">
        <f>'7.  Persistence Report'!N30</f>
        <v>6.4310738102669633</v>
      </c>
      <c r="R31" s="295">
        <f>'7.  Persistence Report'!O30</f>
        <v>6.4310738102669633</v>
      </c>
      <c r="S31" s="295">
        <f>'7.  Persistence Report'!P30</f>
        <v>6.0483262908920059</v>
      </c>
      <c r="T31" s="295">
        <f>'7.  Persistence Report'!Q30</f>
        <v>5.6301907484282427</v>
      </c>
      <c r="U31" s="295">
        <f>'7.  Persistence Report'!R30</f>
        <v>4.757597350032075</v>
      </c>
      <c r="V31" s="295">
        <f>'7.  Persistence Report'!S30</f>
        <v>4.7085559003107864</v>
      </c>
      <c r="W31" s="295">
        <f>'7.  Persistence Report'!T30</f>
        <v>5.5094389621495079</v>
      </c>
      <c r="X31" s="295">
        <f>'7.  Persistence Report'!U30</f>
        <v>3.1056637437279355</v>
      </c>
      <c r="Y31" s="759">
        <v>1</v>
      </c>
      <c r="Z31" s="759"/>
      <c r="AA31" s="759"/>
      <c r="AB31" s="759"/>
      <c r="AC31" s="759"/>
      <c r="AD31" s="759"/>
      <c r="AE31" s="759"/>
      <c r="AF31" s="409"/>
      <c r="AG31" s="409"/>
      <c r="AH31" s="409"/>
      <c r="AI31" s="409"/>
      <c r="AJ31" s="409"/>
      <c r="AK31" s="409"/>
      <c r="AL31" s="409"/>
      <c r="AM31" s="296">
        <f>SUM(Y31:AL31)</f>
        <v>1</v>
      </c>
    </row>
    <row r="32" spans="1:39" s="283" customFormat="1" ht="15.5" outlineLevel="1">
      <c r="A32" s="503"/>
      <c r="B32" s="294" t="s">
        <v>214</v>
      </c>
      <c r="C32" s="291" t="s">
        <v>163</v>
      </c>
      <c r="D32" s="295">
        <f>'7.  Persistence Report'!AQ43</f>
        <v>1509.1429260513696</v>
      </c>
      <c r="E32" s="295">
        <f>'7.  Persistence Report'!AR43</f>
        <v>1509.1429260513696</v>
      </c>
      <c r="F32" s="295">
        <f>'7.  Persistence Report'!AS43</f>
        <v>1509.1429260513696</v>
      </c>
      <c r="G32" s="295">
        <f>'7.  Persistence Report'!AT43</f>
        <v>1509.1429260513696</v>
      </c>
      <c r="H32" s="295">
        <f>'7.  Persistence Report'!AU43</f>
        <v>1509.1429260513696</v>
      </c>
      <c r="I32" s="295">
        <f>'7.  Persistence Report'!AV43</f>
        <v>1378.8748842136638</v>
      </c>
      <c r="J32" s="295">
        <f>'7.  Persistence Report'!AW43</f>
        <v>845.9278214260479</v>
      </c>
      <c r="K32" s="295">
        <f>'7.  Persistence Report'!AX43</f>
        <v>844.77607048889377</v>
      </c>
      <c r="L32" s="295">
        <f>'7.  Persistence Report'!AY43</f>
        <v>844.77607048889377</v>
      </c>
      <c r="M32" s="295">
        <f>'7.  Persistence Report'!AZ43</f>
        <v>299.23204487103203</v>
      </c>
      <c r="N32" s="751"/>
      <c r="O32" s="295">
        <f>'7.  Persistence Report'!L43</f>
        <v>0.088137953166979394</v>
      </c>
      <c r="P32" s="295">
        <f>'7.  Persistence Report'!M43</f>
        <v>0.088137953166979394</v>
      </c>
      <c r="Q32" s="295">
        <f>'7.  Persistence Report'!N43</f>
        <v>0.088137953166979394</v>
      </c>
      <c r="R32" s="295">
        <f>'7.  Persistence Report'!O43</f>
        <v>0.088137953166979394</v>
      </c>
      <c r="S32" s="295">
        <f>'7.  Persistence Report'!P43</f>
        <v>0.088137953166979394</v>
      </c>
      <c r="T32" s="295">
        <f>'7.  Persistence Report'!Q43</f>
        <v>0.082106158525754605</v>
      </c>
      <c r="U32" s="295">
        <f>'7.  Persistence Report'!R43</f>
        <v>0.057429137269967394</v>
      </c>
      <c r="V32" s="295">
        <f>'7.  Persistence Report'!S43</f>
        <v>0.05729765885248405</v>
      </c>
      <c r="W32" s="295">
        <f>'7.  Persistence Report'!T43</f>
        <v>0.05729765885248405</v>
      </c>
      <c r="X32" s="295">
        <f>'7.  Persistence Report'!U43</f>
        <v>0.032037361055318785</v>
      </c>
      <c r="Y32" s="760">
        <f>Y31</f>
        <v>1</v>
      </c>
      <c r="Z32" s="760">
        <f>Z31</f>
        <v>0</v>
      </c>
      <c r="AA32" s="760">
        <f t="shared" si="6" ref="AA32:AE32">AA31</f>
        <v>0</v>
      </c>
      <c r="AB32" s="760">
        <f t="shared" si="6"/>
        <v>0</v>
      </c>
      <c r="AC32" s="760">
        <f t="shared" si="6"/>
        <v>0</v>
      </c>
      <c r="AD32" s="760">
        <f t="shared" si="6"/>
        <v>0</v>
      </c>
      <c r="AE32" s="760">
        <f t="shared" si="6"/>
        <v>0</v>
      </c>
      <c r="AF32" s="410">
        <f t="shared" si="7" ref="AF32:AL32">AF31</f>
        <v>0</v>
      </c>
      <c r="AG32" s="410">
        <f t="shared" si="7"/>
        <v>0</v>
      </c>
      <c r="AH32" s="410">
        <f t="shared" si="7"/>
        <v>0</v>
      </c>
      <c r="AI32" s="410">
        <f t="shared" si="7"/>
        <v>0</v>
      </c>
      <c r="AJ32" s="410">
        <f t="shared" si="7"/>
        <v>0</v>
      </c>
      <c r="AK32" s="410">
        <f t="shared" si="7"/>
        <v>0</v>
      </c>
      <c r="AL32" s="410">
        <f t="shared" si="7"/>
        <v>0</v>
      </c>
      <c r="AM32" s="297"/>
    </row>
    <row r="33" spans="1:39" s="283" customFormat="1" ht="15.5" outlineLevel="1">
      <c r="A33" s="503"/>
      <c r="B33" s="294"/>
      <c r="C33" s="305"/>
      <c r="D33" s="753"/>
      <c r="E33" s="753"/>
      <c r="F33" s="753"/>
      <c r="G33" s="753"/>
      <c r="H33" s="753"/>
      <c r="I33" s="753"/>
      <c r="J33" s="753"/>
      <c r="K33" s="753"/>
      <c r="L33" s="753"/>
      <c r="M33" s="753"/>
      <c r="N33" s="750"/>
      <c r="O33" s="753"/>
      <c r="P33" s="753"/>
      <c r="Q33" s="753"/>
      <c r="R33" s="753"/>
      <c r="S33" s="753"/>
      <c r="T33" s="753"/>
      <c r="U33" s="753"/>
      <c r="V33" s="753"/>
      <c r="W33" s="753"/>
      <c r="X33" s="753"/>
      <c r="Y33" s="761"/>
      <c r="Z33" s="761"/>
      <c r="AA33" s="761"/>
      <c r="AB33" s="761"/>
      <c r="AC33" s="761"/>
      <c r="AD33" s="761"/>
      <c r="AE33" s="761"/>
      <c r="AF33" s="411"/>
      <c r="AG33" s="411"/>
      <c r="AH33" s="411"/>
      <c r="AI33" s="411"/>
      <c r="AJ33" s="411"/>
      <c r="AK33" s="411"/>
      <c r="AL33" s="411"/>
      <c r="AM33" s="306"/>
    </row>
    <row r="34" spans="1:39" s="283" customFormat="1" ht="15.5" outlineLevel="1">
      <c r="A34" s="503">
        <v>5</v>
      </c>
      <c r="B34" s="294" t="s">
        <v>5</v>
      </c>
      <c r="C34" s="291" t="s">
        <v>25</v>
      </c>
      <c r="D34" s="295">
        <f>'7.  Persistence Report'!AQ29</f>
        <v>160889.03977032742</v>
      </c>
      <c r="E34" s="295">
        <f>'7.  Persistence Report'!AR29</f>
        <v>160889.03977032742</v>
      </c>
      <c r="F34" s="295">
        <f>'7.  Persistence Report'!AS29</f>
        <v>160889.03977032742</v>
      </c>
      <c r="G34" s="295">
        <f>'7.  Persistence Report'!AT29</f>
        <v>160889.03977032742</v>
      </c>
      <c r="H34" s="295">
        <f>'7.  Persistence Report'!AU29</f>
        <v>147040.73370669939</v>
      </c>
      <c r="I34" s="295">
        <f>'7.  Persistence Report'!AV29</f>
        <v>131912.04266364471</v>
      </c>
      <c r="J34" s="295">
        <f>'7.  Persistence Report'!AW29</f>
        <v>99453.270985571769</v>
      </c>
      <c r="K34" s="295">
        <f>'7.  Persistence Report'!AX29</f>
        <v>99090.469440368208</v>
      </c>
      <c r="L34" s="295">
        <f>'7.  Persistence Report'!AY29</f>
        <v>128067.46654705094</v>
      </c>
      <c r="M34" s="295">
        <f>'7.  Persistence Report'!AZ29</f>
        <v>41095.733883107736</v>
      </c>
      <c r="N34" s="750"/>
      <c r="O34" s="295">
        <f>'7.  Persistence Report'!L29</f>
        <v>9.2056720221538342</v>
      </c>
      <c r="P34" s="295">
        <f>'7.  Persistence Report'!M29</f>
        <v>9.2056720221538342</v>
      </c>
      <c r="Q34" s="295">
        <f>'7.  Persistence Report'!N29</f>
        <v>9.2056720221538342</v>
      </c>
      <c r="R34" s="295">
        <f>'7.  Persistence Report'!O29</f>
        <v>9.2056720221538342</v>
      </c>
      <c r="S34" s="295">
        <f>'7.  Persistence Report'!P29</f>
        <v>8.5644545974788038</v>
      </c>
      <c r="T34" s="295">
        <f>'7.  Persistence Report'!Q29</f>
        <v>7.8639515709887728</v>
      </c>
      <c r="U34" s="295">
        <f>'7.  Persistence Report'!R29</f>
        <v>6.3610146855747889</v>
      </c>
      <c r="V34" s="295">
        <f>'7.  Persistence Report'!S29</f>
        <v>6.3195989840675342</v>
      </c>
      <c r="W34" s="295">
        <f>'7.  Persistence Report'!T29</f>
        <v>7.6613194352325964</v>
      </c>
      <c r="X34" s="295">
        <f>'7.  Persistence Report'!U29</f>
        <v>3.6342716373239101</v>
      </c>
      <c r="Y34" s="759">
        <v>1</v>
      </c>
      <c r="Z34" s="759"/>
      <c r="AA34" s="759"/>
      <c r="AB34" s="759"/>
      <c r="AC34" s="759"/>
      <c r="AD34" s="759"/>
      <c r="AE34" s="759"/>
      <c r="AF34" s="409"/>
      <c r="AG34" s="409"/>
      <c r="AH34" s="409"/>
      <c r="AI34" s="409"/>
      <c r="AJ34" s="409"/>
      <c r="AK34" s="409"/>
      <c r="AL34" s="409"/>
      <c r="AM34" s="296">
        <f>SUM(Y34:AL34)</f>
        <v>1</v>
      </c>
    </row>
    <row r="35" spans="1:39" s="283" customFormat="1" ht="15.5" outlineLevel="1">
      <c r="A35" s="503"/>
      <c r="B35" s="294" t="s">
        <v>214</v>
      </c>
      <c r="C35" s="291" t="s">
        <v>163</v>
      </c>
      <c r="D35" s="295">
        <f>'7.  Persistence Report'!AQ42</f>
        <v>11953.518394510378</v>
      </c>
      <c r="E35" s="295">
        <f>'7.  Persistence Report'!AR42</f>
        <v>11953.518394510378</v>
      </c>
      <c r="F35" s="295">
        <f>'7.  Persistence Report'!AS42</f>
        <v>11953.518394510378</v>
      </c>
      <c r="G35" s="295">
        <f>'7.  Persistence Report'!AT42</f>
        <v>11953.518394510378</v>
      </c>
      <c r="H35" s="295">
        <f>'7.  Persistence Report'!AU42</f>
        <v>11953.518394510378</v>
      </c>
      <c r="I35" s="295">
        <f>'7.  Persistence Report'!AV42</f>
        <v>10862.321911842741</v>
      </c>
      <c r="J35" s="295">
        <f>'7.  Persistence Report'!AW42</f>
        <v>5864.4498028194348</v>
      </c>
      <c r="K35" s="295">
        <f>'7.  Persistence Report'!AX42</f>
        <v>5863.2550693968233</v>
      </c>
      <c r="L35" s="295">
        <f>'7.  Persistence Report'!AY42</f>
        <v>5863.2550693968233</v>
      </c>
      <c r="M35" s="295">
        <f>'7.  Persistence Report'!AZ42</f>
        <v>1293.4794475585634</v>
      </c>
      <c r="N35" s="751"/>
      <c r="O35" s="295">
        <f>'7.  Persistence Report'!L42</f>
        <v>0.59052881251308564</v>
      </c>
      <c r="P35" s="295">
        <f>'7.  Persistence Report'!M42</f>
        <v>0.59052881251308564</v>
      </c>
      <c r="Q35" s="295">
        <f>'7.  Persistence Report'!N42</f>
        <v>0.59052881251308564</v>
      </c>
      <c r="R35" s="295">
        <f>'7.  Persistence Report'!O42</f>
        <v>0.59052881251308564</v>
      </c>
      <c r="S35" s="295">
        <f>'7.  Persistence Report'!P42</f>
        <v>0.59052881251308564</v>
      </c>
      <c r="T35" s="295">
        <f>'7.  Persistence Report'!Q42</f>
        <v>0.54000319622357373</v>
      </c>
      <c r="U35" s="295">
        <f>'7.  Persistence Report'!R42</f>
        <v>0.30858697333836826</v>
      </c>
      <c r="V35" s="295">
        <f>'7.  Persistence Report'!S42</f>
        <v>0.30845058824446292</v>
      </c>
      <c r="W35" s="295">
        <f>'7.  Persistence Report'!T42</f>
        <v>0.30845058824446292</v>
      </c>
      <c r="X35" s="295">
        <f>'7.  Persistence Report'!U42</f>
        <v>0.096856495644650292</v>
      </c>
      <c r="Y35" s="760">
        <f>Y34</f>
        <v>1</v>
      </c>
      <c r="Z35" s="760">
        <f>Z34</f>
        <v>0</v>
      </c>
      <c r="AA35" s="760">
        <f t="shared" si="8" ref="AA35:AE35">AA34</f>
        <v>0</v>
      </c>
      <c r="AB35" s="760">
        <f t="shared" si="8"/>
        <v>0</v>
      </c>
      <c r="AC35" s="760">
        <f t="shared" si="8"/>
        <v>0</v>
      </c>
      <c r="AD35" s="760">
        <f t="shared" si="8"/>
        <v>0</v>
      </c>
      <c r="AE35" s="760">
        <f t="shared" si="8"/>
        <v>0</v>
      </c>
      <c r="AF35" s="410">
        <f t="shared" si="9" ref="AF35:AL35">AF34</f>
        <v>0</v>
      </c>
      <c r="AG35" s="410">
        <f t="shared" si="9"/>
        <v>0</v>
      </c>
      <c r="AH35" s="410">
        <f t="shared" si="9"/>
        <v>0</v>
      </c>
      <c r="AI35" s="410">
        <f t="shared" si="9"/>
        <v>0</v>
      </c>
      <c r="AJ35" s="410">
        <f t="shared" si="9"/>
        <v>0</v>
      </c>
      <c r="AK35" s="410">
        <f t="shared" si="9"/>
        <v>0</v>
      </c>
      <c r="AL35" s="410">
        <f t="shared" si="9"/>
        <v>0</v>
      </c>
      <c r="AM35" s="297"/>
    </row>
    <row r="36" spans="1:39" s="283" customFormat="1" ht="15.5" outlineLevel="1">
      <c r="A36" s="503"/>
      <c r="B36" s="294"/>
      <c r="C36" s="305"/>
      <c r="D36" s="753"/>
      <c r="E36" s="753"/>
      <c r="F36" s="753"/>
      <c r="G36" s="753"/>
      <c r="H36" s="753"/>
      <c r="I36" s="753"/>
      <c r="J36" s="753"/>
      <c r="K36" s="753"/>
      <c r="L36" s="753"/>
      <c r="M36" s="753"/>
      <c r="N36" s="750"/>
      <c r="O36" s="753"/>
      <c r="P36" s="753"/>
      <c r="Q36" s="753"/>
      <c r="R36" s="753"/>
      <c r="S36" s="753"/>
      <c r="T36" s="753"/>
      <c r="U36" s="753"/>
      <c r="V36" s="753"/>
      <c r="W36" s="753"/>
      <c r="X36" s="753"/>
      <c r="Y36" s="761"/>
      <c r="Z36" s="761"/>
      <c r="AA36" s="761"/>
      <c r="AB36" s="761"/>
      <c r="AC36" s="761"/>
      <c r="AD36" s="761"/>
      <c r="AE36" s="761"/>
      <c r="AF36" s="411"/>
      <c r="AG36" s="411"/>
      <c r="AH36" s="411"/>
      <c r="AI36" s="411"/>
      <c r="AJ36" s="411"/>
      <c r="AK36" s="411"/>
      <c r="AL36" s="411"/>
      <c r="AM36" s="306"/>
    </row>
    <row r="37" spans="1:39" s="283" customFormat="1" ht="15.5" outlineLevel="1">
      <c r="A37" s="503">
        <v>6</v>
      </c>
      <c r="B37" s="294" t="s">
        <v>6</v>
      </c>
      <c r="C37" s="291" t="s">
        <v>25</v>
      </c>
      <c r="D37" s="295"/>
      <c r="E37" s="295"/>
      <c r="F37" s="295"/>
      <c r="G37" s="295"/>
      <c r="H37" s="295"/>
      <c r="I37" s="295"/>
      <c r="J37" s="295"/>
      <c r="K37" s="295"/>
      <c r="L37" s="295"/>
      <c r="M37" s="295"/>
      <c r="N37" s="750"/>
      <c r="O37" s="295"/>
      <c r="P37" s="295"/>
      <c r="Q37" s="295"/>
      <c r="R37" s="295"/>
      <c r="S37" s="295"/>
      <c r="T37" s="295"/>
      <c r="U37" s="295"/>
      <c r="V37" s="295"/>
      <c r="W37" s="295"/>
      <c r="X37" s="295"/>
      <c r="Y37" s="759"/>
      <c r="Z37" s="759"/>
      <c r="AA37" s="759"/>
      <c r="AB37" s="759"/>
      <c r="AC37" s="759"/>
      <c r="AD37" s="759"/>
      <c r="AE37" s="759"/>
      <c r="AF37" s="409"/>
      <c r="AG37" s="409"/>
      <c r="AH37" s="409"/>
      <c r="AI37" s="409"/>
      <c r="AJ37" s="409"/>
      <c r="AK37" s="409"/>
      <c r="AL37" s="409"/>
      <c r="AM37" s="296">
        <f>SUM(Y37:AL37)</f>
        <v>0</v>
      </c>
    </row>
    <row r="38" spans="1:39" s="283" customFormat="1" ht="15.5" outlineLevel="1">
      <c r="A38" s="503"/>
      <c r="B38" s="294" t="s">
        <v>214</v>
      </c>
      <c r="C38" s="291" t="s">
        <v>163</v>
      </c>
      <c r="D38" s="295"/>
      <c r="E38" s="295"/>
      <c r="F38" s="295"/>
      <c r="G38" s="295"/>
      <c r="H38" s="295"/>
      <c r="I38" s="295"/>
      <c r="J38" s="295"/>
      <c r="K38" s="295"/>
      <c r="L38" s="295"/>
      <c r="M38" s="295"/>
      <c r="N38" s="751"/>
      <c r="O38" s="295"/>
      <c r="P38" s="295"/>
      <c r="Q38" s="295"/>
      <c r="R38" s="295"/>
      <c r="S38" s="295"/>
      <c r="T38" s="295"/>
      <c r="U38" s="295"/>
      <c r="V38" s="295"/>
      <c r="W38" s="295"/>
      <c r="X38" s="295"/>
      <c r="Y38" s="760">
        <f>Y37</f>
        <v>0</v>
      </c>
      <c r="Z38" s="760">
        <f>Z37</f>
        <v>0</v>
      </c>
      <c r="AA38" s="760">
        <f t="shared" si="10" ref="AA38:AE38">AA37</f>
        <v>0</v>
      </c>
      <c r="AB38" s="760">
        <f t="shared" si="10"/>
        <v>0</v>
      </c>
      <c r="AC38" s="760">
        <f t="shared" si="10"/>
        <v>0</v>
      </c>
      <c r="AD38" s="760">
        <f t="shared" si="10"/>
        <v>0</v>
      </c>
      <c r="AE38" s="760">
        <f t="shared" si="10"/>
        <v>0</v>
      </c>
      <c r="AF38" s="410">
        <f t="shared" si="11" ref="AF38:AL38">AF37</f>
        <v>0</v>
      </c>
      <c r="AG38" s="410">
        <f t="shared" si="11"/>
        <v>0</v>
      </c>
      <c r="AH38" s="410">
        <f t="shared" si="11"/>
        <v>0</v>
      </c>
      <c r="AI38" s="410">
        <f t="shared" si="11"/>
        <v>0</v>
      </c>
      <c r="AJ38" s="410">
        <f t="shared" si="11"/>
        <v>0</v>
      </c>
      <c r="AK38" s="410">
        <f t="shared" si="11"/>
        <v>0</v>
      </c>
      <c r="AL38" s="410">
        <f t="shared" si="11"/>
        <v>0</v>
      </c>
      <c r="AM38" s="297"/>
    </row>
    <row r="39" spans="1:39" s="283" customFormat="1" ht="15.5" outlineLevel="1">
      <c r="A39" s="503"/>
      <c r="B39" s="294"/>
      <c r="C39" s="305"/>
      <c r="D39" s="753"/>
      <c r="E39" s="753"/>
      <c r="F39" s="753"/>
      <c r="G39" s="753"/>
      <c r="H39" s="753"/>
      <c r="I39" s="753"/>
      <c r="J39" s="753"/>
      <c r="K39" s="753"/>
      <c r="L39" s="753"/>
      <c r="M39" s="753"/>
      <c r="N39" s="750"/>
      <c r="O39" s="753"/>
      <c r="P39" s="753"/>
      <c r="Q39" s="753"/>
      <c r="R39" s="753"/>
      <c r="S39" s="753"/>
      <c r="T39" s="753"/>
      <c r="U39" s="753"/>
      <c r="V39" s="753"/>
      <c r="W39" s="753"/>
      <c r="X39" s="753"/>
      <c r="Y39" s="761"/>
      <c r="Z39" s="761"/>
      <c r="AA39" s="761"/>
      <c r="AB39" s="761"/>
      <c r="AC39" s="761"/>
      <c r="AD39" s="761"/>
      <c r="AE39" s="761"/>
      <c r="AF39" s="411"/>
      <c r="AG39" s="411"/>
      <c r="AH39" s="411"/>
      <c r="AI39" s="411"/>
      <c r="AJ39" s="411"/>
      <c r="AK39" s="411"/>
      <c r="AL39" s="411"/>
      <c r="AM39" s="306"/>
    </row>
    <row r="40" spans="1:39" s="283" customFormat="1" ht="15.5" outlineLevel="1">
      <c r="A40" s="503">
        <v>7</v>
      </c>
      <c r="B40" s="294" t="s">
        <v>42</v>
      </c>
      <c r="C40" s="291" t="s">
        <v>25</v>
      </c>
      <c r="D40" s="295"/>
      <c r="E40" s="295"/>
      <c r="F40" s="295"/>
      <c r="G40" s="295"/>
      <c r="H40" s="295"/>
      <c r="I40" s="295"/>
      <c r="J40" s="295"/>
      <c r="K40" s="295"/>
      <c r="L40" s="295"/>
      <c r="M40" s="295"/>
      <c r="N40" s="750"/>
      <c r="O40" s="295"/>
      <c r="P40" s="295"/>
      <c r="Q40" s="295"/>
      <c r="R40" s="295"/>
      <c r="S40" s="295"/>
      <c r="T40" s="295"/>
      <c r="U40" s="295"/>
      <c r="V40" s="295"/>
      <c r="W40" s="295"/>
      <c r="X40" s="295"/>
      <c r="Y40" s="759"/>
      <c r="Z40" s="759"/>
      <c r="AA40" s="759"/>
      <c r="AB40" s="759"/>
      <c r="AC40" s="759"/>
      <c r="AD40" s="759"/>
      <c r="AE40" s="759"/>
      <c r="AF40" s="409"/>
      <c r="AG40" s="409"/>
      <c r="AH40" s="409"/>
      <c r="AI40" s="409"/>
      <c r="AJ40" s="409"/>
      <c r="AK40" s="409"/>
      <c r="AL40" s="409"/>
      <c r="AM40" s="296">
        <f>SUM(Y40:AL40)</f>
        <v>0</v>
      </c>
    </row>
    <row r="41" spans="1:39" s="283" customFormat="1" ht="15.5" outlineLevel="1">
      <c r="A41" s="503"/>
      <c r="B41" s="294" t="s">
        <v>214</v>
      </c>
      <c r="C41" s="291" t="s">
        <v>163</v>
      </c>
      <c r="D41" s="295"/>
      <c r="E41" s="295"/>
      <c r="F41" s="295"/>
      <c r="G41" s="295"/>
      <c r="H41" s="295"/>
      <c r="I41" s="295"/>
      <c r="J41" s="295"/>
      <c r="K41" s="295"/>
      <c r="L41" s="295"/>
      <c r="M41" s="295"/>
      <c r="N41" s="750"/>
      <c r="O41" s="295"/>
      <c r="P41" s="295"/>
      <c r="Q41" s="295"/>
      <c r="R41" s="295"/>
      <c r="S41" s="295"/>
      <c r="T41" s="295"/>
      <c r="U41" s="295"/>
      <c r="V41" s="295"/>
      <c r="W41" s="295"/>
      <c r="X41" s="295"/>
      <c r="Y41" s="760">
        <f>Y40</f>
        <v>0</v>
      </c>
      <c r="Z41" s="760">
        <f>Z40</f>
        <v>0</v>
      </c>
      <c r="AA41" s="760">
        <f t="shared" si="12" ref="AA41:AE41">AA40</f>
        <v>0</v>
      </c>
      <c r="AB41" s="760">
        <f t="shared" si="12"/>
        <v>0</v>
      </c>
      <c r="AC41" s="760">
        <f t="shared" si="12"/>
        <v>0</v>
      </c>
      <c r="AD41" s="760">
        <f t="shared" si="12"/>
        <v>0</v>
      </c>
      <c r="AE41" s="760">
        <f t="shared" si="12"/>
        <v>0</v>
      </c>
      <c r="AF41" s="410">
        <f t="shared" si="13" ref="AF41:AL41">AF40</f>
        <v>0</v>
      </c>
      <c r="AG41" s="410">
        <f t="shared" si="13"/>
        <v>0</v>
      </c>
      <c r="AH41" s="410">
        <f t="shared" si="13"/>
        <v>0</v>
      </c>
      <c r="AI41" s="410">
        <f t="shared" si="13"/>
        <v>0</v>
      </c>
      <c r="AJ41" s="410">
        <f t="shared" si="13"/>
        <v>0</v>
      </c>
      <c r="AK41" s="410">
        <f t="shared" si="13"/>
        <v>0</v>
      </c>
      <c r="AL41" s="410">
        <f t="shared" si="13"/>
        <v>0</v>
      </c>
      <c r="AM41" s="297"/>
    </row>
    <row r="42" spans="1:39" s="283" customFormat="1" ht="15.5" outlineLevel="1">
      <c r="A42" s="503"/>
      <c r="B42" s="294"/>
      <c r="C42" s="305"/>
      <c r="D42" s="753"/>
      <c r="E42" s="753"/>
      <c r="F42" s="753"/>
      <c r="G42" s="753"/>
      <c r="H42" s="753"/>
      <c r="I42" s="753"/>
      <c r="J42" s="753"/>
      <c r="K42" s="753"/>
      <c r="L42" s="753"/>
      <c r="M42" s="753"/>
      <c r="N42" s="750"/>
      <c r="O42" s="753"/>
      <c r="P42" s="753"/>
      <c r="Q42" s="753"/>
      <c r="R42" s="753"/>
      <c r="S42" s="753"/>
      <c r="T42" s="753"/>
      <c r="U42" s="753"/>
      <c r="V42" s="753"/>
      <c r="W42" s="753"/>
      <c r="X42" s="753"/>
      <c r="Y42" s="761"/>
      <c r="Z42" s="761"/>
      <c r="AA42" s="761"/>
      <c r="AB42" s="761"/>
      <c r="AC42" s="761"/>
      <c r="AD42" s="761"/>
      <c r="AE42" s="761"/>
      <c r="AF42" s="411"/>
      <c r="AG42" s="411"/>
      <c r="AH42" s="411"/>
      <c r="AI42" s="411"/>
      <c r="AJ42" s="411"/>
      <c r="AK42" s="411"/>
      <c r="AL42" s="411"/>
      <c r="AM42" s="306"/>
    </row>
    <row r="43" spans="1:39" s="283" customFormat="1" ht="15.5" outlineLevel="1">
      <c r="A43" s="503">
        <v>8</v>
      </c>
      <c r="B43" s="294" t="s">
        <v>484</v>
      </c>
      <c r="C43" s="291" t="s">
        <v>25</v>
      </c>
      <c r="D43" s="295"/>
      <c r="E43" s="295"/>
      <c r="F43" s="295"/>
      <c r="G43" s="295"/>
      <c r="H43" s="295"/>
      <c r="I43" s="295"/>
      <c r="J43" s="295"/>
      <c r="K43" s="295"/>
      <c r="L43" s="295"/>
      <c r="M43" s="295"/>
      <c r="N43" s="750"/>
      <c r="O43" s="295"/>
      <c r="P43" s="295"/>
      <c r="Q43" s="295"/>
      <c r="R43" s="295"/>
      <c r="S43" s="295"/>
      <c r="T43" s="295"/>
      <c r="U43" s="295"/>
      <c r="V43" s="295"/>
      <c r="W43" s="295"/>
      <c r="X43" s="295"/>
      <c r="Y43" s="759"/>
      <c r="Z43" s="759"/>
      <c r="AA43" s="759"/>
      <c r="AB43" s="759"/>
      <c r="AC43" s="759"/>
      <c r="AD43" s="759"/>
      <c r="AE43" s="759"/>
      <c r="AF43" s="409"/>
      <c r="AG43" s="409"/>
      <c r="AH43" s="409"/>
      <c r="AI43" s="409"/>
      <c r="AJ43" s="409"/>
      <c r="AK43" s="409"/>
      <c r="AL43" s="409"/>
      <c r="AM43" s="296">
        <f>SUM(Y43:AL43)</f>
        <v>0</v>
      </c>
    </row>
    <row r="44" spans="1:39" s="283" customFormat="1" ht="15.5" outlineLevel="1">
      <c r="A44" s="503"/>
      <c r="B44" s="294" t="s">
        <v>214</v>
      </c>
      <c r="C44" s="291" t="s">
        <v>163</v>
      </c>
      <c r="D44" s="295"/>
      <c r="E44" s="295"/>
      <c r="F44" s="295"/>
      <c r="G44" s="295"/>
      <c r="H44" s="295"/>
      <c r="I44" s="295"/>
      <c r="J44" s="295"/>
      <c r="K44" s="295"/>
      <c r="L44" s="295"/>
      <c r="M44" s="295"/>
      <c r="N44" s="750"/>
      <c r="O44" s="295"/>
      <c r="P44" s="295"/>
      <c r="Q44" s="295"/>
      <c r="R44" s="295"/>
      <c r="S44" s="295"/>
      <c r="T44" s="295"/>
      <c r="U44" s="295"/>
      <c r="V44" s="295"/>
      <c r="W44" s="295"/>
      <c r="X44" s="295"/>
      <c r="Y44" s="760">
        <f>Y43</f>
        <v>0</v>
      </c>
      <c r="Z44" s="760">
        <f>Z43</f>
        <v>0</v>
      </c>
      <c r="AA44" s="760">
        <f t="shared" si="14" ref="AA44:AE44">AA43</f>
        <v>0</v>
      </c>
      <c r="AB44" s="760">
        <f t="shared" si="14"/>
        <v>0</v>
      </c>
      <c r="AC44" s="760">
        <f t="shared" si="14"/>
        <v>0</v>
      </c>
      <c r="AD44" s="760">
        <f t="shared" si="14"/>
        <v>0</v>
      </c>
      <c r="AE44" s="760">
        <f t="shared" si="14"/>
        <v>0</v>
      </c>
      <c r="AF44" s="410">
        <f t="shared" si="15" ref="AF44:AL44">AF43</f>
        <v>0</v>
      </c>
      <c r="AG44" s="410">
        <f t="shared" si="15"/>
        <v>0</v>
      </c>
      <c r="AH44" s="410">
        <f t="shared" si="15"/>
        <v>0</v>
      </c>
      <c r="AI44" s="410">
        <f t="shared" si="15"/>
        <v>0</v>
      </c>
      <c r="AJ44" s="410">
        <f t="shared" si="15"/>
        <v>0</v>
      </c>
      <c r="AK44" s="410">
        <f t="shared" si="15"/>
        <v>0</v>
      </c>
      <c r="AL44" s="410">
        <f t="shared" si="15"/>
        <v>0</v>
      </c>
      <c r="AM44" s="297"/>
    </row>
    <row r="45" spans="1:39" s="283" customFormat="1" ht="15.5" outlineLevel="1">
      <c r="A45" s="503"/>
      <c r="B45" s="294"/>
      <c r="C45" s="305"/>
      <c r="D45" s="753"/>
      <c r="E45" s="753"/>
      <c r="F45" s="753"/>
      <c r="G45" s="753"/>
      <c r="H45" s="753"/>
      <c r="I45" s="753"/>
      <c r="J45" s="753"/>
      <c r="K45" s="753"/>
      <c r="L45" s="753"/>
      <c r="M45" s="753"/>
      <c r="N45" s="750"/>
      <c r="O45" s="753"/>
      <c r="P45" s="753"/>
      <c r="Q45" s="753"/>
      <c r="R45" s="753"/>
      <c r="S45" s="753"/>
      <c r="T45" s="753"/>
      <c r="U45" s="753"/>
      <c r="V45" s="753"/>
      <c r="W45" s="753"/>
      <c r="X45" s="753"/>
      <c r="Y45" s="761"/>
      <c r="Z45" s="761"/>
      <c r="AA45" s="761"/>
      <c r="AB45" s="761"/>
      <c r="AC45" s="761"/>
      <c r="AD45" s="761"/>
      <c r="AE45" s="761"/>
      <c r="AF45" s="411"/>
      <c r="AG45" s="411"/>
      <c r="AH45" s="411"/>
      <c r="AI45" s="411"/>
      <c r="AJ45" s="411"/>
      <c r="AK45" s="411"/>
      <c r="AL45" s="411"/>
      <c r="AM45" s="306"/>
    </row>
    <row r="46" spans="1:39" s="283" customFormat="1" ht="15.5" outlineLevel="1">
      <c r="A46" s="503">
        <v>9</v>
      </c>
      <c r="B46" s="294" t="s">
        <v>7</v>
      </c>
      <c r="C46" s="291" t="s">
        <v>25</v>
      </c>
      <c r="D46" s="295"/>
      <c r="E46" s="295"/>
      <c r="F46" s="295"/>
      <c r="G46" s="295"/>
      <c r="H46" s="295"/>
      <c r="I46" s="295"/>
      <c r="J46" s="295"/>
      <c r="K46" s="295"/>
      <c r="L46" s="295"/>
      <c r="M46" s="295"/>
      <c r="N46" s="750"/>
      <c r="O46" s="295"/>
      <c r="P46" s="295"/>
      <c r="Q46" s="295"/>
      <c r="R46" s="295"/>
      <c r="S46" s="295"/>
      <c r="T46" s="295"/>
      <c r="U46" s="295"/>
      <c r="V46" s="295"/>
      <c r="W46" s="295"/>
      <c r="X46" s="295"/>
      <c r="Y46" s="759"/>
      <c r="Z46" s="759"/>
      <c r="AA46" s="759"/>
      <c r="AB46" s="759"/>
      <c r="AC46" s="759"/>
      <c r="AD46" s="759"/>
      <c r="AE46" s="759"/>
      <c r="AF46" s="409"/>
      <c r="AG46" s="409"/>
      <c r="AH46" s="409"/>
      <c r="AI46" s="409"/>
      <c r="AJ46" s="409"/>
      <c r="AK46" s="409"/>
      <c r="AL46" s="409"/>
      <c r="AM46" s="296">
        <f>SUM(Y46:AL46)</f>
        <v>0</v>
      </c>
    </row>
    <row r="47" spans="1:39" s="283" customFormat="1" ht="15.5" outlineLevel="1">
      <c r="A47" s="503"/>
      <c r="B47" s="294" t="s">
        <v>214</v>
      </c>
      <c r="C47" s="291" t="s">
        <v>163</v>
      </c>
      <c r="D47" s="295"/>
      <c r="E47" s="295"/>
      <c r="F47" s="295"/>
      <c r="G47" s="295"/>
      <c r="H47" s="295"/>
      <c r="I47" s="295"/>
      <c r="J47" s="295"/>
      <c r="K47" s="295"/>
      <c r="L47" s="295"/>
      <c r="M47" s="295"/>
      <c r="N47" s="750"/>
      <c r="O47" s="295"/>
      <c r="P47" s="295"/>
      <c r="Q47" s="295"/>
      <c r="R47" s="295"/>
      <c r="S47" s="295"/>
      <c r="T47" s="295"/>
      <c r="U47" s="295"/>
      <c r="V47" s="295"/>
      <c r="W47" s="295"/>
      <c r="X47" s="295"/>
      <c r="Y47" s="760">
        <f>Y46</f>
        <v>0</v>
      </c>
      <c r="Z47" s="760">
        <f>Z46</f>
        <v>0</v>
      </c>
      <c r="AA47" s="760">
        <f t="shared" si="16" ref="AA47:AE47">AA46</f>
        <v>0</v>
      </c>
      <c r="AB47" s="760">
        <f t="shared" si="16"/>
        <v>0</v>
      </c>
      <c r="AC47" s="760">
        <f t="shared" si="16"/>
        <v>0</v>
      </c>
      <c r="AD47" s="760">
        <f t="shared" si="16"/>
        <v>0</v>
      </c>
      <c r="AE47" s="760">
        <f t="shared" si="16"/>
        <v>0</v>
      </c>
      <c r="AF47" s="410">
        <f t="shared" si="17" ref="AF47:AL47">AF46</f>
        <v>0</v>
      </c>
      <c r="AG47" s="410">
        <f t="shared" si="17"/>
        <v>0</v>
      </c>
      <c r="AH47" s="410">
        <f t="shared" si="17"/>
        <v>0</v>
      </c>
      <c r="AI47" s="410">
        <f t="shared" si="17"/>
        <v>0</v>
      </c>
      <c r="AJ47" s="410">
        <f t="shared" si="17"/>
        <v>0</v>
      </c>
      <c r="AK47" s="410">
        <f t="shared" si="17"/>
        <v>0</v>
      </c>
      <c r="AL47" s="410">
        <f t="shared" si="17"/>
        <v>0</v>
      </c>
      <c r="AM47" s="297"/>
    </row>
    <row r="48" spans="1:39" s="283" customFormat="1" ht="15.5" outlineLevel="1">
      <c r="A48" s="503"/>
      <c r="B48" s="307"/>
      <c r="C48" s="308"/>
      <c r="D48" s="750"/>
      <c r="E48" s="750"/>
      <c r="F48" s="750"/>
      <c r="G48" s="750"/>
      <c r="H48" s="750"/>
      <c r="I48" s="750"/>
      <c r="J48" s="750"/>
      <c r="K48" s="750"/>
      <c r="L48" s="750"/>
      <c r="M48" s="750"/>
      <c r="N48" s="750"/>
      <c r="O48" s="750"/>
      <c r="P48" s="750"/>
      <c r="Q48" s="750"/>
      <c r="R48" s="750"/>
      <c r="S48" s="750"/>
      <c r="T48" s="750"/>
      <c r="U48" s="750"/>
      <c r="V48" s="750"/>
      <c r="W48" s="750"/>
      <c r="X48" s="750"/>
      <c r="Y48" s="761"/>
      <c r="Z48" s="761"/>
      <c r="AA48" s="761"/>
      <c r="AB48" s="761"/>
      <c r="AC48" s="761"/>
      <c r="AD48" s="761"/>
      <c r="AE48" s="761"/>
      <c r="AF48" s="411"/>
      <c r="AG48" s="411"/>
      <c r="AH48" s="411"/>
      <c r="AI48" s="411"/>
      <c r="AJ48" s="411"/>
      <c r="AK48" s="411"/>
      <c r="AL48" s="411"/>
      <c r="AM48" s="306"/>
    </row>
    <row r="49" spans="1:42" s="293" customFormat="1" ht="15.5" outlineLevel="1">
      <c r="A49" s="504"/>
      <c r="B49" s="288" t="s">
        <v>8</v>
      </c>
      <c r="C49" s="289"/>
      <c r="D49" s="754"/>
      <c r="E49" s="754"/>
      <c r="F49" s="754"/>
      <c r="G49" s="754"/>
      <c r="H49" s="754"/>
      <c r="I49" s="754"/>
      <c r="J49" s="754"/>
      <c r="K49" s="754"/>
      <c r="L49" s="754"/>
      <c r="M49" s="754"/>
      <c r="N49" s="750"/>
      <c r="O49" s="754"/>
      <c r="P49" s="754"/>
      <c r="Q49" s="754"/>
      <c r="R49" s="754"/>
      <c r="S49" s="754"/>
      <c r="T49" s="754"/>
      <c r="U49" s="754"/>
      <c r="V49" s="754"/>
      <c r="W49" s="754"/>
      <c r="X49" s="754"/>
      <c r="Y49" s="763"/>
      <c r="Z49" s="763"/>
      <c r="AA49" s="763"/>
      <c r="AB49" s="763"/>
      <c r="AC49" s="763"/>
      <c r="AD49" s="763"/>
      <c r="AE49" s="763"/>
      <c r="AF49" s="413"/>
      <c r="AG49" s="413"/>
      <c r="AH49" s="413"/>
      <c r="AI49" s="413"/>
      <c r="AJ49" s="413"/>
      <c r="AK49" s="413"/>
      <c r="AL49" s="413"/>
      <c r="AM49" s="292"/>
      <c r="AO49" s="309"/>
      <c r="AP49" s="309"/>
    </row>
    <row r="50" spans="1:39" s="283" customFormat="1" ht="15.5" outlineLevel="1">
      <c r="A50" s="503">
        <v>10</v>
      </c>
      <c r="B50" s="310" t="s">
        <v>22</v>
      </c>
      <c r="C50" s="291" t="s">
        <v>25</v>
      </c>
      <c r="D50" s="295">
        <f>'7.  Persistence Report'!AQ35</f>
        <v>377207.78609305224</v>
      </c>
      <c r="E50" s="295">
        <f>'7.  Persistence Report'!AR35</f>
        <v>377207.78609305224</v>
      </c>
      <c r="F50" s="295">
        <f>'7.  Persistence Report'!AS35</f>
        <v>377207.78609305224</v>
      </c>
      <c r="G50" s="295">
        <f>'7.  Persistence Report'!AT35</f>
        <v>377207.78609305224</v>
      </c>
      <c r="H50" s="295">
        <f>'7.  Persistence Report'!AU35</f>
        <v>377207.78609305224</v>
      </c>
      <c r="I50" s="295">
        <f>'7.  Persistence Report'!AV35</f>
        <v>377207.78609305224</v>
      </c>
      <c r="J50" s="295">
        <f>'7.  Persistence Report'!AW35</f>
        <v>377207.78609305224</v>
      </c>
      <c r="K50" s="295">
        <f>'7.  Persistence Report'!AX35</f>
        <v>377207.78609305224</v>
      </c>
      <c r="L50" s="295">
        <f>'7.  Persistence Report'!AY35</f>
        <v>370852.56928109692</v>
      </c>
      <c r="M50" s="295">
        <f>'7.  Persistence Report'!AZ35</f>
        <v>370852.56928109692</v>
      </c>
      <c r="N50" s="295">
        <v>12</v>
      </c>
      <c r="O50" s="295">
        <f>'7.  Persistence Report'!L35</f>
        <v>47.742720619843666</v>
      </c>
      <c r="P50" s="295">
        <f>'7.  Persistence Report'!M35</f>
        <v>47.742720619843666</v>
      </c>
      <c r="Q50" s="295">
        <f>'7.  Persistence Report'!N35</f>
        <v>47.742720619843666</v>
      </c>
      <c r="R50" s="295">
        <f>'7.  Persistence Report'!O35</f>
        <v>47.742720619843666</v>
      </c>
      <c r="S50" s="295">
        <f>'7.  Persistence Report'!P35</f>
        <v>47.742720619843666</v>
      </c>
      <c r="T50" s="295">
        <f>'7.  Persistence Report'!Q35</f>
        <v>47.742720619843666</v>
      </c>
      <c r="U50" s="295">
        <f>'7.  Persistence Report'!R35</f>
        <v>47.742720619843666</v>
      </c>
      <c r="V50" s="295">
        <f>'7.  Persistence Report'!S35</f>
        <v>47.742720619843666</v>
      </c>
      <c r="W50" s="295">
        <f>'7.  Persistence Report'!T35</f>
        <v>47.00462354914044</v>
      </c>
      <c r="X50" s="295">
        <f>'7.  Persistence Report'!U35</f>
        <v>47.00462354914044</v>
      </c>
      <c r="Y50" s="764"/>
      <c r="Z50" s="764">
        <v>0.92020000000000002</v>
      </c>
      <c r="AA50" s="764">
        <v>0.079799999999999996</v>
      </c>
      <c r="AB50" s="764"/>
      <c r="AC50" s="764"/>
      <c r="AD50" s="764"/>
      <c r="AE50" s="764"/>
      <c r="AF50" s="414"/>
      <c r="AG50" s="414"/>
      <c r="AH50" s="414"/>
      <c r="AI50" s="414"/>
      <c r="AJ50" s="414"/>
      <c r="AK50" s="414"/>
      <c r="AL50" s="414"/>
      <c r="AM50" s="296">
        <f>SUM(Y50:AL50)</f>
        <v>1</v>
      </c>
    </row>
    <row r="51" spans="1:39" s="283" customFormat="1" ht="15.5" outlineLevel="1">
      <c r="A51" s="503"/>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760">
        <f>Y50</f>
        <v>0</v>
      </c>
      <c r="Z51" s="760">
        <f>Z50</f>
        <v>0.92020000000000002</v>
      </c>
      <c r="AA51" s="760">
        <f>AA50</f>
        <v>0.079799999999999996</v>
      </c>
      <c r="AB51" s="760">
        <f t="shared" si="18" ref="AB51:AE51">AB50</f>
        <v>0</v>
      </c>
      <c r="AC51" s="760">
        <f t="shared" si="18"/>
        <v>0</v>
      </c>
      <c r="AD51" s="760">
        <f t="shared" si="18"/>
        <v>0</v>
      </c>
      <c r="AE51" s="760">
        <f t="shared" si="18"/>
        <v>0</v>
      </c>
      <c r="AF51" s="410">
        <f t="shared" si="19" ref="AF51:AL51">AF50</f>
        <v>0</v>
      </c>
      <c r="AG51" s="410">
        <f t="shared" si="19"/>
        <v>0</v>
      </c>
      <c r="AH51" s="410">
        <f t="shared" si="19"/>
        <v>0</v>
      </c>
      <c r="AI51" s="410">
        <f t="shared" si="19"/>
        <v>0</v>
      </c>
      <c r="AJ51" s="410">
        <f t="shared" si="19"/>
        <v>0</v>
      </c>
      <c r="AK51" s="410">
        <f t="shared" si="19"/>
        <v>0</v>
      </c>
      <c r="AL51" s="410">
        <f t="shared" si="19"/>
        <v>0</v>
      </c>
      <c r="AM51" s="311"/>
    </row>
    <row r="52" spans="1:39" s="283" customFormat="1" ht="15.5" outlineLevel="1">
      <c r="A52" s="503"/>
      <c r="B52" s="310"/>
      <c r="C52" s="312"/>
      <c r="D52" s="750"/>
      <c r="E52" s="750"/>
      <c r="F52" s="750"/>
      <c r="G52" s="750"/>
      <c r="H52" s="750"/>
      <c r="I52" s="750"/>
      <c r="J52" s="750"/>
      <c r="K52" s="750"/>
      <c r="L52" s="750"/>
      <c r="M52" s="750"/>
      <c r="N52" s="750"/>
      <c r="O52" s="750"/>
      <c r="P52" s="750"/>
      <c r="Q52" s="750"/>
      <c r="R52" s="750"/>
      <c r="S52" s="750"/>
      <c r="T52" s="750"/>
      <c r="U52" s="750"/>
      <c r="V52" s="750"/>
      <c r="W52" s="750"/>
      <c r="X52" s="750"/>
      <c r="Y52" s="765"/>
      <c r="Z52" s="765"/>
      <c r="AA52" s="765"/>
      <c r="AB52" s="765"/>
      <c r="AC52" s="765"/>
      <c r="AD52" s="765"/>
      <c r="AE52" s="765"/>
      <c r="AF52" s="415"/>
      <c r="AG52" s="415"/>
      <c r="AH52" s="415"/>
      <c r="AI52" s="415"/>
      <c r="AJ52" s="415"/>
      <c r="AK52" s="415"/>
      <c r="AL52" s="415"/>
      <c r="AM52" s="313"/>
    </row>
    <row r="53" spans="1:39" s="283" customFormat="1" ht="15.5" outlineLevel="1">
      <c r="A53" s="503">
        <v>11</v>
      </c>
      <c r="B53" s="314" t="s">
        <v>21</v>
      </c>
      <c r="C53" s="291" t="s">
        <v>25</v>
      </c>
      <c r="D53" s="295">
        <f>'7.  Persistence Report'!AQ34</f>
        <v>97297.891214360396</v>
      </c>
      <c r="E53" s="295">
        <f>'7.  Persistence Report'!AR34</f>
        <v>97297.891214360396</v>
      </c>
      <c r="F53" s="295">
        <f>'7.  Persistence Report'!AS34</f>
        <v>96039.790500717529</v>
      </c>
      <c r="G53" s="295">
        <f>'7.  Persistence Report'!AT34</f>
        <v>67751.485414538824</v>
      </c>
      <c r="H53" s="295">
        <f>'7.  Persistence Report'!AU34</f>
        <v>67751.485414538824</v>
      </c>
      <c r="I53" s="295">
        <f>'7.  Persistence Report'!AV34</f>
        <v>66505.762165415246</v>
      </c>
      <c r="J53" s="295">
        <f>'7.  Persistence Report'!AW34</f>
        <v>12058.24484318421</v>
      </c>
      <c r="K53" s="295">
        <f>'7.  Persistence Report'!AX34</f>
        <v>12058.24484318421</v>
      </c>
      <c r="L53" s="295">
        <f>'7.  Persistence Report'!AY34</f>
        <v>12058.24484318421</v>
      </c>
      <c r="M53" s="295">
        <f>'7.  Persistence Report'!AZ34</f>
        <v>12058.24484318421</v>
      </c>
      <c r="N53" s="295">
        <v>12</v>
      </c>
      <c r="O53" s="295">
        <f>'7.  Persistence Report'!L34</f>
        <v>41.718418107982878</v>
      </c>
      <c r="P53" s="295">
        <f>'7.  Persistence Report'!M34</f>
        <v>41.718418107982878</v>
      </c>
      <c r="Q53" s="295">
        <f>'7.  Persistence Report'!N34</f>
        <v>41.17460045637781</v>
      </c>
      <c r="R53" s="295">
        <f>'7.  Persistence Report'!O34</f>
        <v>30.545960973206714</v>
      </c>
      <c r="S53" s="295">
        <f>'7.  Persistence Report'!P34</f>
        <v>30.545960973206714</v>
      </c>
      <c r="T53" s="295">
        <f>'7.  Persistence Report'!Q34</f>
        <v>29.951117870652752</v>
      </c>
      <c r="U53" s="295">
        <f>'7.  Persistence Report'!R34</f>
        <v>4.5529900910296064</v>
      </c>
      <c r="V53" s="295">
        <f>'7.  Persistence Report'!S34</f>
        <v>4.5529900910296064</v>
      </c>
      <c r="W53" s="295">
        <f>'7.  Persistence Report'!T34</f>
        <v>4.5529900910296064</v>
      </c>
      <c r="X53" s="295">
        <f>'7.  Persistence Report'!U34</f>
        <v>4.5529900910296064</v>
      </c>
      <c r="Y53" s="764"/>
      <c r="Z53" s="764">
        <v>0.5</v>
      </c>
      <c r="AA53" s="764">
        <v>0.5</v>
      </c>
      <c r="AB53" s="764"/>
      <c r="AC53" s="764"/>
      <c r="AD53" s="764"/>
      <c r="AE53" s="764"/>
      <c r="AF53" s="414"/>
      <c r="AG53" s="414"/>
      <c r="AH53" s="414"/>
      <c r="AI53" s="414"/>
      <c r="AJ53" s="414"/>
      <c r="AK53" s="414"/>
      <c r="AL53" s="414"/>
      <c r="AM53" s="296">
        <f>SUM(Y53:AL53)</f>
        <v>1</v>
      </c>
    </row>
    <row r="54" spans="1:39" s="283" customFormat="1" ht="15.5" outlineLevel="1">
      <c r="A54" s="503"/>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760">
        <f>Y53</f>
        <v>0</v>
      </c>
      <c r="Z54" s="760">
        <f>Z53</f>
        <v>0.5</v>
      </c>
      <c r="AA54" s="760">
        <f t="shared" si="20" ref="AA54:AE54">AA53</f>
        <v>0.5</v>
      </c>
      <c r="AB54" s="760">
        <f t="shared" si="20"/>
        <v>0</v>
      </c>
      <c r="AC54" s="760">
        <f t="shared" si="20"/>
        <v>0</v>
      </c>
      <c r="AD54" s="760">
        <f t="shared" si="20"/>
        <v>0</v>
      </c>
      <c r="AE54" s="760">
        <f t="shared" si="20"/>
        <v>0</v>
      </c>
      <c r="AF54" s="410">
        <f t="shared" si="21" ref="AF54:AL54">AF53</f>
        <v>0</v>
      </c>
      <c r="AG54" s="410">
        <f t="shared" si="21"/>
        <v>0</v>
      </c>
      <c r="AH54" s="410">
        <f t="shared" si="21"/>
        <v>0</v>
      </c>
      <c r="AI54" s="410">
        <f t="shared" si="21"/>
        <v>0</v>
      </c>
      <c r="AJ54" s="410">
        <f t="shared" si="21"/>
        <v>0</v>
      </c>
      <c r="AK54" s="410">
        <f t="shared" si="21"/>
        <v>0</v>
      </c>
      <c r="AL54" s="410">
        <f t="shared" si="21"/>
        <v>0</v>
      </c>
      <c r="AM54" s="311"/>
    </row>
    <row r="55" spans="1:39" s="283" customFormat="1" ht="15.5" outlineLevel="1">
      <c r="A55" s="503"/>
      <c r="B55" s="314"/>
      <c r="C55" s="312"/>
      <c r="D55" s="750"/>
      <c r="E55" s="750"/>
      <c r="F55" s="750"/>
      <c r="G55" s="750"/>
      <c r="H55" s="750"/>
      <c r="I55" s="750"/>
      <c r="J55" s="750"/>
      <c r="K55" s="750"/>
      <c r="L55" s="750"/>
      <c r="M55" s="750"/>
      <c r="N55" s="750"/>
      <c r="O55" s="750"/>
      <c r="P55" s="750"/>
      <c r="Q55" s="750"/>
      <c r="R55" s="750"/>
      <c r="S55" s="750"/>
      <c r="T55" s="750"/>
      <c r="U55" s="750"/>
      <c r="V55" s="750"/>
      <c r="W55" s="750"/>
      <c r="X55" s="750"/>
      <c r="Y55" s="765"/>
      <c r="Z55" s="766"/>
      <c r="AA55" s="765"/>
      <c r="AB55" s="765"/>
      <c r="AC55" s="765"/>
      <c r="AD55" s="765"/>
      <c r="AE55" s="765"/>
      <c r="AF55" s="415"/>
      <c r="AG55" s="415"/>
      <c r="AH55" s="415"/>
      <c r="AI55" s="415"/>
      <c r="AJ55" s="415"/>
      <c r="AK55" s="415"/>
      <c r="AL55" s="415"/>
      <c r="AM55" s="313"/>
    </row>
    <row r="56" spans="1:39" s="283" customFormat="1" ht="15.5" outlineLevel="1">
      <c r="A56" s="503">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764"/>
      <c r="Z56" s="764"/>
      <c r="AA56" s="764"/>
      <c r="AB56" s="764"/>
      <c r="AC56" s="764"/>
      <c r="AD56" s="764"/>
      <c r="AE56" s="764"/>
      <c r="AF56" s="414"/>
      <c r="AG56" s="414"/>
      <c r="AH56" s="414"/>
      <c r="AI56" s="414"/>
      <c r="AJ56" s="414"/>
      <c r="AK56" s="414"/>
      <c r="AL56" s="414"/>
      <c r="AM56" s="296">
        <f>SUM(Y56:AL56)</f>
        <v>0</v>
      </c>
    </row>
    <row r="57" spans="1:39" s="283" customFormat="1" ht="15.5" outlineLevel="1">
      <c r="A57" s="503"/>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760">
        <f>Y56</f>
        <v>0</v>
      </c>
      <c r="Z57" s="760">
        <f>Z56</f>
        <v>0</v>
      </c>
      <c r="AA57" s="760">
        <f t="shared" si="22" ref="AA57:AE57">AA56</f>
        <v>0</v>
      </c>
      <c r="AB57" s="760">
        <f t="shared" si="22"/>
        <v>0</v>
      </c>
      <c r="AC57" s="760">
        <f t="shared" si="22"/>
        <v>0</v>
      </c>
      <c r="AD57" s="760">
        <f t="shared" si="22"/>
        <v>0</v>
      </c>
      <c r="AE57" s="760">
        <f t="shared" si="22"/>
        <v>0</v>
      </c>
      <c r="AF57" s="410">
        <f t="shared" si="23" ref="AF57:AL57">AF56</f>
        <v>0</v>
      </c>
      <c r="AG57" s="410">
        <f t="shared" si="23"/>
        <v>0</v>
      </c>
      <c r="AH57" s="410">
        <f t="shared" si="23"/>
        <v>0</v>
      </c>
      <c r="AI57" s="410">
        <f t="shared" si="23"/>
        <v>0</v>
      </c>
      <c r="AJ57" s="410">
        <f t="shared" si="23"/>
        <v>0</v>
      </c>
      <c r="AK57" s="410">
        <f t="shared" si="23"/>
        <v>0</v>
      </c>
      <c r="AL57" s="410">
        <f t="shared" si="23"/>
        <v>0</v>
      </c>
      <c r="AM57" s="311"/>
    </row>
    <row r="58" spans="1:39" s="283" customFormat="1" ht="15.5" outlineLevel="1">
      <c r="A58" s="503"/>
      <c r="B58" s="314"/>
      <c r="C58" s="312"/>
      <c r="D58" s="755"/>
      <c r="E58" s="755"/>
      <c r="F58" s="755"/>
      <c r="G58" s="755"/>
      <c r="H58" s="755"/>
      <c r="I58" s="755"/>
      <c r="J58" s="755"/>
      <c r="K58" s="755"/>
      <c r="L58" s="755"/>
      <c r="M58" s="755"/>
      <c r="N58" s="750"/>
      <c r="O58" s="755"/>
      <c r="P58" s="755"/>
      <c r="Q58" s="755"/>
      <c r="R58" s="755"/>
      <c r="S58" s="755"/>
      <c r="T58" s="755"/>
      <c r="U58" s="755"/>
      <c r="V58" s="755"/>
      <c r="W58" s="755"/>
      <c r="X58" s="755"/>
      <c r="Y58" s="765"/>
      <c r="Z58" s="766"/>
      <c r="AA58" s="765"/>
      <c r="AB58" s="765"/>
      <c r="AC58" s="765"/>
      <c r="AD58" s="765"/>
      <c r="AE58" s="765"/>
      <c r="AF58" s="415"/>
      <c r="AG58" s="415"/>
      <c r="AH58" s="415"/>
      <c r="AI58" s="415"/>
      <c r="AJ58" s="415"/>
      <c r="AK58" s="415"/>
      <c r="AL58" s="415"/>
      <c r="AM58" s="313"/>
    </row>
    <row r="59" spans="1:39" s="283" customFormat="1" ht="15.5" outlineLevel="1">
      <c r="A59" s="503">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764"/>
      <c r="Z59" s="764"/>
      <c r="AA59" s="764"/>
      <c r="AB59" s="764"/>
      <c r="AC59" s="764"/>
      <c r="AD59" s="764"/>
      <c r="AE59" s="764"/>
      <c r="AF59" s="414"/>
      <c r="AG59" s="414"/>
      <c r="AH59" s="414"/>
      <c r="AI59" s="414"/>
      <c r="AJ59" s="414"/>
      <c r="AK59" s="414"/>
      <c r="AL59" s="414"/>
      <c r="AM59" s="296">
        <f>SUM(Y59:AL59)</f>
        <v>0</v>
      </c>
    </row>
    <row r="60" spans="1:39" s="283" customFormat="1" ht="15.5" outlineLevel="1">
      <c r="A60" s="503"/>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760">
        <f>Y59</f>
        <v>0</v>
      </c>
      <c r="Z60" s="760">
        <f>Z59</f>
        <v>0</v>
      </c>
      <c r="AA60" s="760">
        <f t="shared" si="24" ref="AA60:AE60">AA59</f>
        <v>0</v>
      </c>
      <c r="AB60" s="760">
        <f t="shared" si="24"/>
        <v>0</v>
      </c>
      <c r="AC60" s="760">
        <f t="shared" si="24"/>
        <v>0</v>
      </c>
      <c r="AD60" s="760">
        <f t="shared" si="24"/>
        <v>0</v>
      </c>
      <c r="AE60" s="760">
        <f t="shared" si="24"/>
        <v>0</v>
      </c>
      <c r="AF60" s="410">
        <f t="shared" si="25" ref="AF60:AL60">AF59</f>
        <v>0</v>
      </c>
      <c r="AG60" s="410">
        <f t="shared" si="25"/>
        <v>0</v>
      </c>
      <c r="AH60" s="410">
        <f t="shared" si="25"/>
        <v>0</v>
      </c>
      <c r="AI60" s="410">
        <f t="shared" si="25"/>
        <v>0</v>
      </c>
      <c r="AJ60" s="410">
        <f t="shared" si="25"/>
        <v>0</v>
      </c>
      <c r="AK60" s="410">
        <f t="shared" si="25"/>
        <v>0</v>
      </c>
      <c r="AL60" s="410">
        <f t="shared" si="25"/>
        <v>0</v>
      </c>
      <c r="AM60" s="311"/>
    </row>
    <row r="61" spans="1:39" s="283" customFormat="1" ht="15.5" outlineLevel="1">
      <c r="A61" s="503"/>
      <c r="B61" s="314"/>
      <c r="C61" s="312"/>
      <c r="D61" s="755"/>
      <c r="E61" s="755"/>
      <c r="F61" s="755"/>
      <c r="G61" s="755"/>
      <c r="H61" s="755"/>
      <c r="I61" s="755"/>
      <c r="J61" s="755"/>
      <c r="K61" s="755"/>
      <c r="L61" s="755"/>
      <c r="M61" s="755"/>
      <c r="N61" s="750"/>
      <c r="O61" s="755"/>
      <c r="P61" s="755"/>
      <c r="Q61" s="755"/>
      <c r="R61" s="755"/>
      <c r="S61" s="755"/>
      <c r="T61" s="755"/>
      <c r="U61" s="755"/>
      <c r="V61" s="755"/>
      <c r="W61" s="755"/>
      <c r="X61" s="755"/>
      <c r="Y61" s="765"/>
      <c r="Z61" s="765"/>
      <c r="AA61" s="765"/>
      <c r="AB61" s="765"/>
      <c r="AC61" s="765"/>
      <c r="AD61" s="765"/>
      <c r="AE61" s="765"/>
      <c r="AF61" s="415"/>
      <c r="AG61" s="415"/>
      <c r="AH61" s="415"/>
      <c r="AI61" s="415"/>
      <c r="AJ61" s="415"/>
      <c r="AK61" s="415"/>
      <c r="AL61" s="415"/>
      <c r="AM61" s="313"/>
    </row>
    <row r="62" spans="1:39" s="283" customFormat="1" ht="15.5" outlineLevel="1">
      <c r="A62" s="503">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764"/>
      <c r="Z62" s="764">
        <v>0.5</v>
      </c>
      <c r="AA62" s="764">
        <v>0.5</v>
      </c>
      <c r="AB62" s="764"/>
      <c r="AC62" s="764"/>
      <c r="AD62" s="764"/>
      <c r="AE62" s="764"/>
      <c r="AF62" s="414"/>
      <c r="AG62" s="414"/>
      <c r="AH62" s="414"/>
      <c r="AI62" s="414"/>
      <c r="AJ62" s="414"/>
      <c r="AK62" s="414"/>
      <c r="AL62" s="414"/>
      <c r="AM62" s="296">
        <f>SUM(Y62:AL62)</f>
        <v>1</v>
      </c>
    </row>
    <row r="63" spans="1:39" s="283" customFormat="1" ht="15.5" outlineLevel="1">
      <c r="A63" s="503"/>
      <c r="B63" s="315" t="s">
        <v>214</v>
      </c>
      <c r="C63" s="291" t="s">
        <v>163</v>
      </c>
      <c r="D63" s="295">
        <f>'7.  Persistence Report'!AQ44</f>
        <v>437351.41950000002</v>
      </c>
      <c r="E63" s="295">
        <f>'7.  Persistence Report'!AR44</f>
        <v>437351.41950000002</v>
      </c>
      <c r="F63" s="295">
        <f>'7.  Persistence Report'!AS44</f>
        <v>437351.41950000002</v>
      </c>
      <c r="G63" s="295">
        <f>'7.  Persistence Report'!AT44</f>
        <v>437351.41950000002</v>
      </c>
      <c r="H63" s="295">
        <f>'7.  Persistence Report'!AU44</f>
        <v>0</v>
      </c>
      <c r="I63" s="295">
        <f>'7.  Persistence Report'!AV44</f>
        <v>0</v>
      </c>
      <c r="J63" s="295">
        <f>'7.  Persistence Report'!AW44</f>
        <v>0</v>
      </c>
      <c r="K63" s="295">
        <f>'7.  Persistence Report'!AX44</f>
        <v>0</v>
      </c>
      <c r="L63" s="295">
        <f>'7.  Persistence Report'!AY44</f>
        <v>0</v>
      </c>
      <c r="M63" s="295">
        <f>'7.  Persistence Report'!AZ44</f>
        <v>0</v>
      </c>
      <c r="N63" s="295">
        <f>N62</f>
        <v>12</v>
      </c>
      <c r="O63" s="295">
        <f>'7.  Persistence Report'!L44</f>
        <v>88.317436819999998</v>
      </c>
      <c r="P63" s="295">
        <f>'7.  Persistence Report'!M44</f>
        <v>88.317436819999998</v>
      </c>
      <c r="Q63" s="295">
        <f>'7.  Persistence Report'!N44</f>
        <v>88.317436819999998</v>
      </c>
      <c r="R63" s="295">
        <f>'7.  Persistence Report'!O44</f>
        <v>88.317436819999998</v>
      </c>
      <c r="S63" s="295">
        <f>'7.  Persistence Report'!P44</f>
        <v>0</v>
      </c>
      <c r="T63" s="295">
        <f>'7.  Persistence Report'!Q44</f>
        <v>0</v>
      </c>
      <c r="U63" s="295">
        <f>'7.  Persistence Report'!R44</f>
        <v>0</v>
      </c>
      <c r="V63" s="295">
        <f>'7.  Persistence Report'!S44</f>
        <v>0</v>
      </c>
      <c r="W63" s="295">
        <f>'7.  Persistence Report'!T44</f>
        <v>0</v>
      </c>
      <c r="X63" s="295">
        <f>'7.  Persistence Report'!U44</f>
        <v>0</v>
      </c>
      <c r="Y63" s="760">
        <f>Y62</f>
        <v>0</v>
      </c>
      <c r="Z63" s="760">
        <f>Z62</f>
        <v>0.5</v>
      </c>
      <c r="AA63" s="760">
        <f t="shared" si="26" ref="AA63:AE63">AA62</f>
        <v>0.5</v>
      </c>
      <c r="AB63" s="760">
        <f t="shared" si="26"/>
        <v>0</v>
      </c>
      <c r="AC63" s="760">
        <f t="shared" si="26"/>
        <v>0</v>
      </c>
      <c r="AD63" s="760">
        <f t="shared" si="26"/>
        <v>0</v>
      </c>
      <c r="AE63" s="760">
        <f t="shared" si="26"/>
        <v>0</v>
      </c>
      <c r="AF63" s="410">
        <f t="shared" si="27" ref="AF63:AL63">AF62</f>
        <v>0</v>
      </c>
      <c r="AG63" s="410">
        <f t="shared" si="27"/>
        <v>0</v>
      </c>
      <c r="AH63" s="410">
        <f t="shared" si="27"/>
        <v>0</v>
      </c>
      <c r="AI63" s="410">
        <f t="shared" si="27"/>
        <v>0</v>
      </c>
      <c r="AJ63" s="410">
        <f t="shared" si="27"/>
        <v>0</v>
      </c>
      <c r="AK63" s="410">
        <f t="shared" si="27"/>
        <v>0</v>
      </c>
      <c r="AL63" s="410">
        <f t="shared" si="27"/>
        <v>0</v>
      </c>
      <c r="AM63" s="311"/>
    </row>
    <row r="64" spans="1:39" s="283" customFormat="1" ht="15.5" outlineLevel="1">
      <c r="A64" s="503"/>
      <c r="B64" s="314"/>
      <c r="C64" s="312"/>
      <c r="D64" s="755"/>
      <c r="E64" s="755"/>
      <c r="F64" s="755"/>
      <c r="G64" s="755"/>
      <c r="H64" s="755"/>
      <c r="I64" s="755"/>
      <c r="J64" s="755"/>
      <c r="K64" s="755"/>
      <c r="L64" s="755"/>
      <c r="M64" s="755"/>
      <c r="N64" s="750"/>
      <c r="O64" s="755"/>
      <c r="P64" s="755"/>
      <c r="Q64" s="755"/>
      <c r="R64" s="755"/>
      <c r="S64" s="755"/>
      <c r="T64" s="755"/>
      <c r="U64" s="755"/>
      <c r="V64" s="755"/>
      <c r="W64" s="755"/>
      <c r="X64" s="755"/>
      <c r="Y64" s="765"/>
      <c r="Z64" s="766"/>
      <c r="AA64" s="765"/>
      <c r="AB64" s="765"/>
      <c r="AC64" s="765"/>
      <c r="AD64" s="765"/>
      <c r="AE64" s="765"/>
      <c r="AF64" s="415"/>
      <c r="AG64" s="415"/>
      <c r="AH64" s="415"/>
      <c r="AI64" s="415"/>
      <c r="AJ64" s="415"/>
      <c r="AK64" s="415"/>
      <c r="AL64" s="415"/>
      <c r="AM64" s="313"/>
    </row>
    <row r="65" spans="1:39" s="283" customFormat="1" ht="15.5" outlineLevel="1">
      <c r="A65" s="503">
        <v>15</v>
      </c>
      <c r="B65" s="314" t="s">
        <v>485</v>
      </c>
      <c r="C65" s="291" t="s">
        <v>25</v>
      </c>
      <c r="D65" s="295"/>
      <c r="E65" s="295"/>
      <c r="F65" s="295"/>
      <c r="G65" s="295"/>
      <c r="H65" s="295"/>
      <c r="I65" s="295"/>
      <c r="J65" s="295"/>
      <c r="K65" s="295"/>
      <c r="L65" s="295"/>
      <c r="M65" s="295"/>
      <c r="N65" s="750"/>
      <c r="O65" s="295"/>
      <c r="P65" s="295"/>
      <c r="Q65" s="295"/>
      <c r="R65" s="295"/>
      <c r="S65" s="295"/>
      <c r="T65" s="295"/>
      <c r="U65" s="295"/>
      <c r="V65" s="295"/>
      <c r="W65" s="295"/>
      <c r="X65" s="295"/>
      <c r="Y65" s="764"/>
      <c r="Z65" s="764"/>
      <c r="AA65" s="764"/>
      <c r="AB65" s="764"/>
      <c r="AC65" s="764"/>
      <c r="AD65" s="764"/>
      <c r="AE65" s="764"/>
      <c r="AF65" s="414"/>
      <c r="AG65" s="414"/>
      <c r="AH65" s="414"/>
      <c r="AI65" s="414"/>
      <c r="AJ65" s="414"/>
      <c r="AK65" s="414"/>
      <c r="AL65" s="414"/>
      <c r="AM65" s="296">
        <f>SUM(Y65:AL65)</f>
        <v>0</v>
      </c>
    </row>
    <row r="66" spans="1:39" s="283" customFormat="1" ht="15.5" outlineLevel="1">
      <c r="A66" s="503"/>
      <c r="B66" s="315" t="s">
        <v>214</v>
      </c>
      <c r="C66" s="291" t="s">
        <v>163</v>
      </c>
      <c r="D66" s="295"/>
      <c r="E66" s="295"/>
      <c r="F66" s="295"/>
      <c r="G66" s="295"/>
      <c r="H66" s="295"/>
      <c r="I66" s="295"/>
      <c r="J66" s="295"/>
      <c r="K66" s="295"/>
      <c r="L66" s="295"/>
      <c r="M66" s="295"/>
      <c r="N66" s="750"/>
      <c r="O66" s="295"/>
      <c r="P66" s="295"/>
      <c r="Q66" s="295"/>
      <c r="R66" s="295"/>
      <c r="S66" s="295"/>
      <c r="T66" s="295"/>
      <c r="U66" s="295"/>
      <c r="V66" s="295"/>
      <c r="W66" s="295"/>
      <c r="X66" s="295"/>
      <c r="Y66" s="760">
        <f>Y65</f>
        <v>0</v>
      </c>
      <c r="Z66" s="760">
        <f>Z65</f>
        <v>0</v>
      </c>
      <c r="AA66" s="760">
        <f t="shared" si="28" ref="AA66:AE66">AA65</f>
        <v>0</v>
      </c>
      <c r="AB66" s="760">
        <f t="shared" si="28"/>
        <v>0</v>
      </c>
      <c r="AC66" s="760">
        <f t="shared" si="28"/>
        <v>0</v>
      </c>
      <c r="AD66" s="760">
        <f t="shared" si="28"/>
        <v>0</v>
      </c>
      <c r="AE66" s="760">
        <f t="shared" si="28"/>
        <v>0</v>
      </c>
      <c r="AF66" s="410">
        <f t="shared" si="29" ref="AF66:AL66">AF65</f>
        <v>0</v>
      </c>
      <c r="AG66" s="410">
        <f t="shared" si="29"/>
        <v>0</v>
      </c>
      <c r="AH66" s="410">
        <f t="shared" si="29"/>
        <v>0</v>
      </c>
      <c r="AI66" s="410">
        <f t="shared" si="29"/>
        <v>0</v>
      </c>
      <c r="AJ66" s="410">
        <f t="shared" si="29"/>
        <v>0</v>
      </c>
      <c r="AK66" s="410">
        <f t="shared" si="29"/>
        <v>0</v>
      </c>
      <c r="AL66" s="410">
        <f t="shared" si="29"/>
        <v>0</v>
      </c>
      <c r="AM66" s="311"/>
    </row>
    <row r="67" spans="1:39" s="283" customFormat="1" ht="15.5" outlineLevel="1">
      <c r="A67" s="503"/>
      <c r="B67" s="314"/>
      <c r="C67" s="312"/>
      <c r="D67" s="755"/>
      <c r="E67" s="755"/>
      <c r="F67" s="755"/>
      <c r="G67" s="755"/>
      <c r="H67" s="755"/>
      <c r="I67" s="755"/>
      <c r="J67" s="755"/>
      <c r="K67" s="755"/>
      <c r="L67" s="755"/>
      <c r="M67" s="755"/>
      <c r="N67" s="750"/>
      <c r="O67" s="755"/>
      <c r="P67" s="755"/>
      <c r="Q67" s="755"/>
      <c r="R67" s="755"/>
      <c r="S67" s="755"/>
      <c r="T67" s="755"/>
      <c r="U67" s="755"/>
      <c r="V67" s="755"/>
      <c r="W67" s="755"/>
      <c r="X67" s="755"/>
      <c r="Y67" s="767"/>
      <c r="Z67" s="765"/>
      <c r="AA67" s="765"/>
      <c r="AB67" s="765"/>
      <c r="AC67" s="765"/>
      <c r="AD67" s="765"/>
      <c r="AE67" s="765"/>
      <c r="AF67" s="415"/>
      <c r="AG67" s="415"/>
      <c r="AH67" s="415"/>
      <c r="AI67" s="415"/>
      <c r="AJ67" s="415"/>
      <c r="AK67" s="415"/>
      <c r="AL67" s="415"/>
      <c r="AM67" s="313"/>
    </row>
    <row r="68" spans="1:39" s="283" customFormat="1" ht="31" outlineLevel="1">
      <c r="A68" s="503">
        <v>16</v>
      </c>
      <c r="B68" s="314" t="s">
        <v>486</v>
      </c>
      <c r="C68" s="291" t="s">
        <v>25</v>
      </c>
      <c r="D68" s="295"/>
      <c r="E68" s="295"/>
      <c r="F68" s="295"/>
      <c r="G68" s="295"/>
      <c r="H68" s="295"/>
      <c r="I68" s="295"/>
      <c r="J68" s="295"/>
      <c r="K68" s="295"/>
      <c r="L68" s="295"/>
      <c r="M68" s="295"/>
      <c r="N68" s="750"/>
      <c r="O68" s="295"/>
      <c r="P68" s="295"/>
      <c r="Q68" s="295"/>
      <c r="R68" s="295"/>
      <c r="S68" s="295"/>
      <c r="T68" s="295"/>
      <c r="U68" s="295"/>
      <c r="V68" s="295"/>
      <c r="W68" s="295"/>
      <c r="X68" s="295"/>
      <c r="Y68" s="764"/>
      <c r="Z68" s="764"/>
      <c r="AA68" s="764"/>
      <c r="AB68" s="764"/>
      <c r="AC68" s="764"/>
      <c r="AD68" s="764"/>
      <c r="AE68" s="764"/>
      <c r="AF68" s="414"/>
      <c r="AG68" s="414"/>
      <c r="AH68" s="414"/>
      <c r="AI68" s="414"/>
      <c r="AJ68" s="414"/>
      <c r="AK68" s="414"/>
      <c r="AL68" s="414"/>
      <c r="AM68" s="296">
        <f>SUM(Y68:AL68)</f>
        <v>0</v>
      </c>
    </row>
    <row r="69" spans="1:39" s="283" customFormat="1" ht="15.5" outlineLevel="1">
      <c r="A69" s="503"/>
      <c r="B69" s="315" t="s">
        <v>214</v>
      </c>
      <c r="C69" s="291" t="s">
        <v>163</v>
      </c>
      <c r="D69" s="295"/>
      <c r="E69" s="295"/>
      <c r="F69" s="295"/>
      <c r="G69" s="295"/>
      <c r="H69" s="295"/>
      <c r="I69" s="295"/>
      <c r="J69" s="295"/>
      <c r="K69" s="295"/>
      <c r="L69" s="295"/>
      <c r="M69" s="295"/>
      <c r="N69" s="750"/>
      <c r="O69" s="295"/>
      <c r="P69" s="295"/>
      <c r="Q69" s="295"/>
      <c r="R69" s="295"/>
      <c r="S69" s="295"/>
      <c r="T69" s="295"/>
      <c r="U69" s="295"/>
      <c r="V69" s="295"/>
      <c r="W69" s="295"/>
      <c r="X69" s="295"/>
      <c r="Y69" s="760">
        <f>Y68</f>
        <v>0</v>
      </c>
      <c r="Z69" s="760">
        <f>Z68</f>
        <v>0</v>
      </c>
      <c r="AA69" s="760">
        <f t="shared" si="30" ref="AA69:AE69">AA68</f>
        <v>0</v>
      </c>
      <c r="AB69" s="760">
        <f t="shared" si="30"/>
        <v>0</v>
      </c>
      <c r="AC69" s="760">
        <f t="shared" si="30"/>
        <v>0</v>
      </c>
      <c r="AD69" s="760">
        <f t="shared" si="30"/>
        <v>0</v>
      </c>
      <c r="AE69" s="760">
        <f t="shared" si="30"/>
        <v>0</v>
      </c>
      <c r="AF69" s="410">
        <f t="shared" si="31" ref="AF69:AL69">AF68</f>
        <v>0</v>
      </c>
      <c r="AG69" s="410">
        <f t="shared" si="31"/>
        <v>0</v>
      </c>
      <c r="AH69" s="410">
        <f t="shared" si="31"/>
        <v>0</v>
      </c>
      <c r="AI69" s="410">
        <f t="shared" si="31"/>
        <v>0</v>
      </c>
      <c r="AJ69" s="410">
        <f t="shared" si="31"/>
        <v>0</v>
      </c>
      <c r="AK69" s="410">
        <f t="shared" si="31"/>
        <v>0</v>
      </c>
      <c r="AL69" s="410">
        <f t="shared" si="31"/>
        <v>0</v>
      </c>
      <c r="AM69" s="311"/>
    </row>
    <row r="70" spans="1:39" s="283" customFormat="1" ht="15.5" outlineLevel="1">
      <c r="A70" s="503"/>
      <c r="B70" s="314"/>
      <c r="C70" s="312"/>
      <c r="D70" s="755"/>
      <c r="E70" s="755"/>
      <c r="F70" s="755"/>
      <c r="G70" s="755"/>
      <c r="H70" s="755"/>
      <c r="I70" s="755"/>
      <c r="J70" s="755"/>
      <c r="K70" s="755"/>
      <c r="L70" s="755"/>
      <c r="M70" s="755"/>
      <c r="N70" s="750"/>
      <c r="O70" s="755"/>
      <c r="P70" s="755"/>
      <c r="Q70" s="755"/>
      <c r="R70" s="755"/>
      <c r="S70" s="755"/>
      <c r="T70" s="755"/>
      <c r="U70" s="755"/>
      <c r="V70" s="755"/>
      <c r="W70" s="755"/>
      <c r="X70" s="755"/>
      <c r="Y70" s="767"/>
      <c r="Z70" s="765"/>
      <c r="AA70" s="765"/>
      <c r="AB70" s="765"/>
      <c r="AC70" s="765"/>
      <c r="AD70" s="765"/>
      <c r="AE70" s="765"/>
      <c r="AF70" s="415"/>
      <c r="AG70" s="415"/>
      <c r="AH70" s="415"/>
      <c r="AI70" s="415"/>
      <c r="AJ70" s="415"/>
      <c r="AK70" s="415"/>
      <c r="AL70" s="415"/>
      <c r="AM70" s="313"/>
    </row>
    <row r="71" spans="1:39" s="283" customFormat="1" ht="15.5" outlineLevel="1">
      <c r="A71" s="503">
        <v>17</v>
      </c>
      <c r="B71" s="314" t="s">
        <v>9</v>
      </c>
      <c r="C71" s="291" t="s">
        <v>25</v>
      </c>
      <c r="D71" s="295"/>
      <c r="E71" s="295"/>
      <c r="F71" s="295"/>
      <c r="G71" s="295"/>
      <c r="H71" s="295"/>
      <c r="I71" s="295"/>
      <c r="J71" s="295"/>
      <c r="K71" s="295"/>
      <c r="L71" s="295"/>
      <c r="M71" s="295"/>
      <c r="N71" s="750"/>
      <c r="O71" s="295"/>
      <c r="P71" s="295"/>
      <c r="Q71" s="295"/>
      <c r="R71" s="295"/>
      <c r="S71" s="295"/>
      <c r="T71" s="295"/>
      <c r="U71" s="295"/>
      <c r="V71" s="295"/>
      <c r="W71" s="295"/>
      <c r="X71" s="295"/>
      <c r="Y71" s="764"/>
      <c r="Z71" s="764"/>
      <c r="AA71" s="764"/>
      <c r="AB71" s="764"/>
      <c r="AC71" s="764"/>
      <c r="AD71" s="764"/>
      <c r="AE71" s="764"/>
      <c r="AF71" s="414"/>
      <c r="AG71" s="414"/>
      <c r="AH71" s="414"/>
      <c r="AI71" s="414"/>
      <c r="AJ71" s="414"/>
      <c r="AK71" s="414"/>
      <c r="AL71" s="414"/>
      <c r="AM71" s="296">
        <f>SUM(Y71:AL71)</f>
        <v>0</v>
      </c>
    </row>
    <row r="72" spans="1:39" s="283" customFormat="1" ht="15.5" outlineLevel="1">
      <c r="A72" s="503"/>
      <c r="B72" s="315" t="s">
        <v>214</v>
      </c>
      <c r="C72" s="291" t="s">
        <v>163</v>
      </c>
      <c r="D72" s="295"/>
      <c r="E72" s="295"/>
      <c r="F72" s="295"/>
      <c r="G72" s="295"/>
      <c r="H72" s="295"/>
      <c r="I72" s="295"/>
      <c r="J72" s="295"/>
      <c r="K72" s="295"/>
      <c r="L72" s="295"/>
      <c r="M72" s="295"/>
      <c r="N72" s="750"/>
      <c r="O72" s="295"/>
      <c r="P72" s="295"/>
      <c r="Q72" s="295"/>
      <c r="R72" s="295"/>
      <c r="S72" s="295"/>
      <c r="T72" s="295"/>
      <c r="U72" s="295"/>
      <c r="V72" s="295"/>
      <c r="W72" s="295"/>
      <c r="X72" s="295"/>
      <c r="Y72" s="760">
        <f>Y71</f>
        <v>0</v>
      </c>
      <c r="Z72" s="760">
        <f>Z71</f>
        <v>0</v>
      </c>
      <c r="AA72" s="760">
        <f t="shared" si="32" ref="AA72:AE72">AA71</f>
        <v>0</v>
      </c>
      <c r="AB72" s="760">
        <f t="shared" si="32"/>
        <v>0</v>
      </c>
      <c r="AC72" s="760">
        <f t="shared" si="32"/>
        <v>0</v>
      </c>
      <c r="AD72" s="760">
        <f t="shared" si="32"/>
        <v>0</v>
      </c>
      <c r="AE72" s="760">
        <f t="shared" si="32"/>
        <v>0</v>
      </c>
      <c r="AF72" s="410">
        <f t="shared" si="33" ref="AF72:AL72">AF71</f>
        <v>0</v>
      </c>
      <c r="AG72" s="410">
        <f t="shared" si="33"/>
        <v>0</v>
      </c>
      <c r="AH72" s="410">
        <f t="shared" si="33"/>
        <v>0</v>
      </c>
      <c r="AI72" s="410">
        <f t="shared" si="33"/>
        <v>0</v>
      </c>
      <c r="AJ72" s="410">
        <f t="shared" si="33"/>
        <v>0</v>
      </c>
      <c r="AK72" s="410">
        <f t="shared" si="33"/>
        <v>0</v>
      </c>
      <c r="AL72" s="410">
        <f t="shared" si="33"/>
        <v>0</v>
      </c>
      <c r="AM72" s="311"/>
    </row>
    <row r="73" spans="1:39" s="283" customFormat="1" ht="15.5" outlineLevel="1">
      <c r="A73" s="503"/>
      <c r="B73" s="315"/>
      <c r="C73" s="305"/>
      <c r="D73" s="750"/>
      <c r="E73" s="750"/>
      <c r="F73" s="750"/>
      <c r="G73" s="750"/>
      <c r="H73" s="750"/>
      <c r="I73" s="750"/>
      <c r="J73" s="750"/>
      <c r="K73" s="750"/>
      <c r="L73" s="750"/>
      <c r="M73" s="750"/>
      <c r="N73" s="750"/>
      <c r="O73" s="750"/>
      <c r="P73" s="750"/>
      <c r="Q73" s="750"/>
      <c r="R73" s="750"/>
      <c r="S73" s="750"/>
      <c r="T73" s="750"/>
      <c r="U73" s="750"/>
      <c r="V73" s="750"/>
      <c r="W73" s="750"/>
      <c r="X73" s="750"/>
      <c r="Y73" s="768"/>
      <c r="Z73" s="769"/>
      <c r="AA73" s="769"/>
      <c r="AB73" s="769"/>
      <c r="AC73" s="769"/>
      <c r="AD73" s="769"/>
      <c r="AE73" s="769"/>
      <c r="AF73" s="417"/>
      <c r="AG73" s="417"/>
      <c r="AH73" s="417"/>
      <c r="AI73" s="417"/>
      <c r="AJ73" s="417"/>
      <c r="AK73" s="417"/>
      <c r="AL73" s="417"/>
      <c r="AM73" s="317"/>
    </row>
    <row r="74" spans="1:39" s="293" customFormat="1" ht="15.5" outlineLevel="1">
      <c r="A74" s="504"/>
      <c r="B74" s="288" t="s">
        <v>10</v>
      </c>
      <c r="C74" s="289"/>
      <c r="D74" s="754"/>
      <c r="E74" s="754"/>
      <c r="F74" s="754"/>
      <c r="G74" s="754"/>
      <c r="H74" s="754"/>
      <c r="I74" s="754"/>
      <c r="J74" s="754"/>
      <c r="K74" s="754"/>
      <c r="L74" s="754"/>
      <c r="M74" s="754"/>
      <c r="N74" s="756"/>
      <c r="O74" s="754"/>
      <c r="P74" s="754"/>
      <c r="Q74" s="754"/>
      <c r="R74" s="754"/>
      <c r="S74" s="754"/>
      <c r="T74" s="754"/>
      <c r="U74" s="754"/>
      <c r="V74" s="754"/>
      <c r="W74" s="754"/>
      <c r="X74" s="754"/>
      <c r="Y74" s="763"/>
      <c r="Z74" s="763"/>
      <c r="AA74" s="763"/>
      <c r="AB74" s="763"/>
      <c r="AC74" s="763"/>
      <c r="AD74" s="763"/>
      <c r="AE74" s="763"/>
      <c r="AF74" s="413"/>
      <c r="AG74" s="413"/>
      <c r="AH74" s="413"/>
      <c r="AI74" s="413"/>
      <c r="AJ74" s="413"/>
      <c r="AK74" s="413"/>
      <c r="AL74" s="413"/>
      <c r="AM74" s="292"/>
    </row>
    <row r="75" spans="1:39" s="283" customFormat="1" ht="15.5" outlineLevel="1">
      <c r="A75" s="503">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764"/>
      <c r="Z75" s="764"/>
      <c r="AA75" s="764"/>
      <c r="AB75" s="764"/>
      <c r="AC75" s="764"/>
      <c r="AD75" s="764"/>
      <c r="AE75" s="764"/>
      <c r="AF75" s="414"/>
      <c r="AG75" s="414"/>
      <c r="AH75" s="414"/>
      <c r="AI75" s="414"/>
      <c r="AJ75" s="414"/>
      <c r="AK75" s="414"/>
      <c r="AL75" s="414"/>
      <c r="AM75" s="296">
        <f>SUM(Y75:AL75)</f>
        <v>0</v>
      </c>
    </row>
    <row r="76" spans="1:39" s="283" customFormat="1" ht="15.5" outlineLevel="1">
      <c r="A76" s="503"/>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760">
        <f>Y75</f>
        <v>0</v>
      </c>
      <c r="Z76" s="760">
        <f>Z75</f>
        <v>0</v>
      </c>
      <c r="AA76" s="760">
        <f t="shared" si="34" ref="AA76:AE76">AA75</f>
        <v>0</v>
      </c>
      <c r="AB76" s="760">
        <f t="shared" si="34"/>
        <v>0</v>
      </c>
      <c r="AC76" s="760">
        <f t="shared" si="34"/>
        <v>0</v>
      </c>
      <c r="AD76" s="760">
        <f t="shared" si="34"/>
        <v>0</v>
      </c>
      <c r="AE76" s="760">
        <f t="shared" si="34"/>
        <v>0</v>
      </c>
      <c r="AF76" s="410">
        <f t="shared" si="35" ref="AF76:AL76">AF75</f>
        <v>0</v>
      </c>
      <c r="AG76" s="410">
        <f t="shared" si="35"/>
        <v>0</v>
      </c>
      <c r="AH76" s="410">
        <f t="shared" si="35"/>
        <v>0</v>
      </c>
      <c r="AI76" s="410">
        <f t="shared" si="35"/>
        <v>0</v>
      </c>
      <c r="AJ76" s="410">
        <f t="shared" si="35"/>
        <v>0</v>
      </c>
      <c r="AK76" s="410">
        <f t="shared" si="35"/>
        <v>0</v>
      </c>
      <c r="AL76" s="410">
        <f t="shared" si="35"/>
        <v>0</v>
      </c>
      <c r="AM76" s="297"/>
    </row>
    <row r="77" spans="1:39" s="309" customFormat="1" ht="15.5" outlineLevel="1">
      <c r="A77" s="506"/>
      <c r="B77" s="315"/>
      <c r="C77" s="305"/>
      <c r="D77" s="750"/>
      <c r="E77" s="750"/>
      <c r="F77" s="750"/>
      <c r="G77" s="750"/>
      <c r="H77" s="750"/>
      <c r="I77" s="750"/>
      <c r="J77" s="750"/>
      <c r="K77" s="750"/>
      <c r="L77" s="750"/>
      <c r="M77" s="750"/>
      <c r="N77" s="750"/>
      <c r="O77" s="750"/>
      <c r="P77" s="750"/>
      <c r="Q77" s="750"/>
      <c r="R77" s="750"/>
      <c r="S77" s="750"/>
      <c r="T77" s="750"/>
      <c r="U77" s="750"/>
      <c r="V77" s="750"/>
      <c r="W77" s="750"/>
      <c r="X77" s="750"/>
      <c r="Y77" s="761"/>
      <c r="Z77" s="770"/>
      <c r="AA77" s="770"/>
      <c r="AB77" s="770"/>
      <c r="AC77" s="770"/>
      <c r="AD77" s="770"/>
      <c r="AE77" s="770"/>
      <c r="AF77" s="418"/>
      <c r="AG77" s="418"/>
      <c r="AH77" s="418"/>
      <c r="AI77" s="418"/>
      <c r="AJ77" s="418"/>
      <c r="AK77" s="418"/>
      <c r="AL77" s="418"/>
      <c r="AM77" s="306"/>
    </row>
    <row r="78" spans="1:39" s="283" customFormat="1" ht="15.5" outlineLevel="1">
      <c r="A78" s="503">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759"/>
      <c r="Z78" s="764"/>
      <c r="AA78" s="764"/>
      <c r="AB78" s="764"/>
      <c r="AC78" s="764"/>
      <c r="AD78" s="764"/>
      <c r="AE78" s="764"/>
      <c r="AF78" s="414"/>
      <c r="AG78" s="414"/>
      <c r="AH78" s="414"/>
      <c r="AI78" s="414"/>
      <c r="AJ78" s="414"/>
      <c r="AK78" s="414"/>
      <c r="AL78" s="414"/>
      <c r="AM78" s="296">
        <f>SUM(Y78:AL78)</f>
        <v>0</v>
      </c>
    </row>
    <row r="79" spans="1:39" s="283" customFormat="1" ht="15.5" outlineLevel="1">
      <c r="A79" s="503"/>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760">
        <f>Y78</f>
        <v>0</v>
      </c>
      <c r="Z79" s="760">
        <f>Z78</f>
        <v>0</v>
      </c>
      <c r="AA79" s="760">
        <f t="shared" si="36" ref="AA79:AE79">AA78</f>
        <v>0</v>
      </c>
      <c r="AB79" s="760">
        <f t="shared" si="36"/>
        <v>0</v>
      </c>
      <c r="AC79" s="760">
        <f t="shared" si="36"/>
        <v>0</v>
      </c>
      <c r="AD79" s="760">
        <f t="shared" si="36"/>
        <v>0</v>
      </c>
      <c r="AE79" s="760">
        <f t="shared" si="36"/>
        <v>0</v>
      </c>
      <c r="AF79" s="410">
        <f t="shared" si="37" ref="AF79:AL79">AF78</f>
        <v>0</v>
      </c>
      <c r="AG79" s="410">
        <f t="shared" si="37"/>
        <v>0</v>
      </c>
      <c r="AH79" s="410">
        <f t="shared" si="37"/>
        <v>0</v>
      </c>
      <c r="AI79" s="410">
        <f t="shared" si="37"/>
        <v>0</v>
      </c>
      <c r="AJ79" s="410">
        <f t="shared" si="37"/>
        <v>0</v>
      </c>
      <c r="AK79" s="410">
        <f t="shared" si="37"/>
        <v>0</v>
      </c>
      <c r="AL79" s="410">
        <f t="shared" si="37"/>
        <v>0</v>
      </c>
      <c r="AM79" s="297"/>
    </row>
    <row r="80" spans="1:39" s="283" customFormat="1" ht="15.5" outlineLevel="1">
      <c r="A80" s="503"/>
      <c r="B80" s="315"/>
      <c r="C80" s="305"/>
      <c r="D80" s="750"/>
      <c r="E80" s="750"/>
      <c r="F80" s="750"/>
      <c r="G80" s="750"/>
      <c r="H80" s="750"/>
      <c r="I80" s="750"/>
      <c r="J80" s="750"/>
      <c r="K80" s="750"/>
      <c r="L80" s="750"/>
      <c r="M80" s="750"/>
      <c r="N80" s="750"/>
      <c r="O80" s="750"/>
      <c r="P80" s="750"/>
      <c r="Q80" s="750"/>
      <c r="R80" s="750"/>
      <c r="S80" s="750"/>
      <c r="T80" s="750"/>
      <c r="U80" s="750"/>
      <c r="V80" s="750"/>
      <c r="W80" s="750"/>
      <c r="X80" s="750"/>
      <c r="Y80" s="771"/>
      <c r="Z80" s="771"/>
      <c r="AA80" s="761"/>
      <c r="AB80" s="761"/>
      <c r="AC80" s="761"/>
      <c r="AD80" s="761"/>
      <c r="AE80" s="761"/>
      <c r="AF80" s="411"/>
      <c r="AG80" s="411"/>
      <c r="AH80" s="411"/>
      <c r="AI80" s="411"/>
      <c r="AJ80" s="411"/>
      <c r="AK80" s="411"/>
      <c r="AL80" s="411"/>
      <c r="AM80" s="306"/>
    </row>
    <row r="81" spans="1:39" s="283" customFormat="1" ht="15.5" outlineLevel="1">
      <c r="A81" s="503">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759"/>
      <c r="Z81" s="764"/>
      <c r="AA81" s="764"/>
      <c r="AB81" s="764"/>
      <c r="AC81" s="764"/>
      <c r="AD81" s="764"/>
      <c r="AE81" s="764"/>
      <c r="AF81" s="414"/>
      <c r="AG81" s="414"/>
      <c r="AH81" s="414"/>
      <c r="AI81" s="414"/>
      <c r="AJ81" s="414"/>
      <c r="AK81" s="414"/>
      <c r="AL81" s="414"/>
      <c r="AM81" s="296">
        <f>SUM(Y81:AL81)</f>
        <v>0</v>
      </c>
    </row>
    <row r="82" spans="1:39" s="283" customFormat="1" ht="15.5" outlineLevel="1">
      <c r="A82" s="503"/>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760">
        <f>Y81</f>
        <v>0</v>
      </c>
      <c r="Z82" s="760">
        <f>Z81</f>
        <v>0</v>
      </c>
      <c r="AA82" s="760">
        <f t="shared" si="38" ref="AA82:AE82">AA81</f>
        <v>0</v>
      </c>
      <c r="AB82" s="760">
        <f t="shared" si="38"/>
        <v>0</v>
      </c>
      <c r="AC82" s="760">
        <f t="shared" si="38"/>
        <v>0</v>
      </c>
      <c r="AD82" s="760">
        <f t="shared" si="38"/>
        <v>0</v>
      </c>
      <c r="AE82" s="760">
        <f t="shared" si="38"/>
        <v>0</v>
      </c>
      <c r="AF82" s="410">
        <f t="shared" si="39" ref="AF82:AL82">AF81</f>
        <v>0</v>
      </c>
      <c r="AG82" s="410">
        <f t="shared" si="39"/>
        <v>0</v>
      </c>
      <c r="AH82" s="410">
        <f t="shared" si="39"/>
        <v>0</v>
      </c>
      <c r="AI82" s="410">
        <f t="shared" si="39"/>
        <v>0</v>
      </c>
      <c r="AJ82" s="410">
        <f t="shared" si="39"/>
        <v>0</v>
      </c>
      <c r="AK82" s="410">
        <f t="shared" si="39"/>
        <v>0</v>
      </c>
      <c r="AL82" s="410">
        <f t="shared" si="39"/>
        <v>0</v>
      </c>
      <c r="AM82" s="306"/>
    </row>
    <row r="83" spans="1:39" s="283" customFormat="1" ht="15.5" outlineLevel="1">
      <c r="A83" s="503"/>
      <c r="B83" s="315"/>
      <c r="C83" s="305"/>
      <c r="D83" s="750"/>
      <c r="E83" s="750"/>
      <c r="F83" s="750"/>
      <c r="G83" s="750"/>
      <c r="H83" s="750"/>
      <c r="I83" s="750"/>
      <c r="J83" s="750"/>
      <c r="K83" s="750"/>
      <c r="L83" s="750"/>
      <c r="M83" s="750"/>
      <c r="N83" s="757"/>
      <c r="O83" s="750"/>
      <c r="P83" s="750"/>
      <c r="Q83" s="750"/>
      <c r="R83" s="750"/>
      <c r="S83" s="750"/>
      <c r="T83" s="750"/>
      <c r="U83" s="750"/>
      <c r="V83" s="750"/>
      <c r="W83" s="750"/>
      <c r="X83" s="750"/>
      <c r="Y83" s="761"/>
      <c r="Z83" s="761"/>
      <c r="AA83" s="761"/>
      <c r="AB83" s="761"/>
      <c r="AC83" s="761"/>
      <c r="AD83" s="761"/>
      <c r="AE83" s="761"/>
      <c r="AF83" s="411"/>
      <c r="AG83" s="411"/>
      <c r="AH83" s="411"/>
      <c r="AI83" s="411"/>
      <c r="AJ83" s="411"/>
      <c r="AK83" s="411"/>
      <c r="AL83" s="411"/>
      <c r="AM83" s="306"/>
    </row>
    <row r="84" spans="1:39" s="283" customFormat="1" ht="15.5" outlineLevel="1">
      <c r="A84" s="503">
        <v>21</v>
      </c>
      <c r="B84" s="315" t="s">
        <v>22</v>
      </c>
      <c r="C84" s="291" t="s">
        <v>25</v>
      </c>
      <c r="D84" s="295">
        <f>'7.  Persistence Report'!AQ37</f>
        <v>103574.18618663134</v>
      </c>
      <c r="E84" s="295">
        <f>'7.  Persistence Report'!AR37</f>
        <v>103574.18618663134</v>
      </c>
      <c r="F84" s="295">
        <f>'7.  Persistence Report'!AS37</f>
        <v>103574.18618663134</v>
      </c>
      <c r="G84" s="295">
        <f>'7.  Persistence Report'!AT37</f>
        <v>103574.18618663134</v>
      </c>
      <c r="H84" s="295">
        <f>'7.  Persistence Report'!AU37</f>
        <v>103574.18618663134</v>
      </c>
      <c r="I84" s="295">
        <f>'7.  Persistence Report'!AV37</f>
        <v>103574.18618663134</v>
      </c>
      <c r="J84" s="295">
        <f>'7.  Persistence Report'!AW37</f>
        <v>103574.18618663134</v>
      </c>
      <c r="K84" s="295">
        <f>'7.  Persistence Report'!AX37</f>
        <v>103574.18618663134</v>
      </c>
      <c r="L84" s="295">
        <f>'7.  Persistence Report'!AY37</f>
        <v>103574.18618663134</v>
      </c>
      <c r="M84" s="295">
        <f>'7.  Persistence Report'!AZ37</f>
        <v>103574.18618663134</v>
      </c>
      <c r="N84" s="295">
        <v>12</v>
      </c>
      <c r="O84" s="295">
        <f>'7.  Persistence Report'!L37</f>
        <v>16.17593293773842</v>
      </c>
      <c r="P84" s="295">
        <f>'7.  Persistence Report'!M37</f>
        <v>16.17593293773842</v>
      </c>
      <c r="Q84" s="295">
        <f>'7.  Persistence Report'!N37</f>
        <v>16.17593293773842</v>
      </c>
      <c r="R84" s="295">
        <f>'7.  Persistence Report'!O37</f>
        <v>16.17593293773842</v>
      </c>
      <c r="S84" s="295">
        <f>'7.  Persistence Report'!P37</f>
        <v>16.17593293773842</v>
      </c>
      <c r="T84" s="295">
        <f>'7.  Persistence Report'!Q37</f>
        <v>16.17593293773842</v>
      </c>
      <c r="U84" s="295">
        <f>'7.  Persistence Report'!R37</f>
        <v>16.17593293773842</v>
      </c>
      <c r="V84" s="295">
        <f>'7.  Persistence Report'!S37</f>
        <v>16.17593293773842</v>
      </c>
      <c r="W84" s="295">
        <f>'7.  Persistence Report'!T37</f>
        <v>16.17593293773842</v>
      </c>
      <c r="X84" s="295">
        <f>'7.  Persistence Report'!U37</f>
        <v>16.17593293773842</v>
      </c>
      <c r="Y84" s="759"/>
      <c r="Z84" s="764"/>
      <c r="AA84" s="764">
        <v>1</v>
      </c>
      <c r="AB84" s="764"/>
      <c r="AC84" s="764"/>
      <c r="AD84" s="764"/>
      <c r="AE84" s="764"/>
      <c r="AF84" s="414"/>
      <c r="AG84" s="414"/>
      <c r="AH84" s="414"/>
      <c r="AI84" s="414"/>
      <c r="AJ84" s="414"/>
      <c r="AK84" s="414"/>
      <c r="AL84" s="414"/>
      <c r="AM84" s="296">
        <f>SUM(Y84:AL84)</f>
        <v>1</v>
      </c>
    </row>
    <row r="85" spans="1:39" s="283" customFormat="1" ht="15.5" outlineLevel="1">
      <c r="A85" s="503"/>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760">
        <f>Y84</f>
        <v>0</v>
      </c>
      <c r="Z85" s="760">
        <f>Z84</f>
        <v>0</v>
      </c>
      <c r="AA85" s="760">
        <f t="shared" si="40" ref="AA85:AE85">AA84</f>
        <v>1</v>
      </c>
      <c r="AB85" s="760">
        <f t="shared" si="40"/>
        <v>0</v>
      </c>
      <c r="AC85" s="760">
        <f t="shared" si="40"/>
        <v>0</v>
      </c>
      <c r="AD85" s="760">
        <f t="shared" si="40"/>
        <v>0</v>
      </c>
      <c r="AE85" s="760">
        <f t="shared" si="40"/>
        <v>0</v>
      </c>
      <c r="AF85" s="410">
        <f t="shared" si="41" ref="AF85:AL85">AF84</f>
        <v>0</v>
      </c>
      <c r="AG85" s="410">
        <f t="shared" si="41"/>
        <v>0</v>
      </c>
      <c r="AH85" s="410">
        <f t="shared" si="41"/>
        <v>0</v>
      </c>
      <c r="AI85" s="410">
        <f t="shared" si="41"/>
        <v>0</v>
      </c>
      <c r="AJ85" s="410">
        <f t="shared" si="41"/>
        <v>0</v>
      </c>
      <c r="AK85" s="410">
        <f t="shared" si="41"/>
        <v>0</v>
      </c>
      <c r="AL85" s="410">
        <f t="shared" si="41"/>
        <v>0</v>
      </c>
      <c r="AM85" s="297"/>
    </row>
    <row r="86" spans="1:39" s="283" customFormat="1" ht="15.5" outlineLevel="1">
      <c r="A86" s="503"/>
      <c r="B86" s="315"/>
      <c r="C86" s="305"/>
      <c r="D86" s="750"/>
      <c r="E86" s="750"/>
      <c r="F86" s="750"/>
      <c r="G86" s="750"/>
      <c r="H86" s="750"/>
      <c r="I86" s="750"/>
      <c r="J86" s="750"/>
      <c r="K86" s="750"/>
      <c r="L86" s="750"/>
      <c r="M86" s="750"/>
      <c r="N86" s="750"/>
      <c r="O86" s="750"/>
      <c r="P86" s="750"/>
      <c r="Q86" s="750"/>
      <c r="R86" s="750"/>
      <c r="S86" s="750"/>
      <c r="T86" s="750"/>
      <c r="U86" s="750"/>
      <c r="V86" s="750"/>
      <c r="W86" s="750"/>
      <c r="X86" s="750"/>
      <c r="Y86" s="771"/>
      <c r="Z86" s="761"/>
      <c r="AA86" s="761"/>
      <c r="AB86" s="761"/>
      <c r="AC86" s="761"/>
      <c r="AD86" s="761"/>
      <c r="AE86" s="761"/>
      <c r="AF86" s="411"/>
      <c r="AG86" s="411"/>
      <c r="AH86" s="411"/>
      <c r="AI86" s="411"/>
      <c r="AJ86" s="411"/>
      <c r="AK86" s="411"/>
      <c r="AL86" s="411"/>
      <c r="AM86" s="306"/>
    </row>
    <row r="87" spans="1:39" s="283" customFormat="1" ht="15.5" outlineLevel="1">
      <c r="A87" s="503">
        <v>22</v>
      </c>
      <c r="B87" s="315" t="s">
        <v>9</v>
      </c>
      <c r="C87" s="291" t="s">
        <v>25</v>
      </c>
      <c r="D87" s="295"/>
      <c r="E87" s="295"/>
      <c r="F87" s="295"/>
      <c r="G87" s="295"/>
      <c r="H87" s="295"/>
      <c r="I87" s="295"/>
      <c r="J87" s="295"/>
      <c r="K87" s="295"/>
      <c r="L87" s="295"/>
      <c r="M87" s="295"/>
      <c r="N87" s="750"/>
      <c r="O87" s="295"/>
      <c r="P87" s="295"/>
      <c r="Q87" s="295"/>
      <c r="R87" s="295"/>
      <c r="S87" s="295"/>
      <c r="T87" s="295"/>
      <c r="U87" s="295"/>
      <c r="V87" s="295"/>
      <c r="W87" s="295"/>
      <c r="X87" s="295"/>
      <c r="Y87" s="759"/>
      <c r="Z87" s="764"/>
      <c r="AA87" s="764"/>
      <c r="AB87" s="764"/>
      <c r="AC87" s="764"/>
      <c r="AD87" s="764"/>
      <c r="AE87" s="764"/>
      <c r="AF87" s="414"/>
      <c r="AG87" s="414"/>
      <c r="AH87" s="414"/>
      <c r="AI87" s="414"/>
      <c r="AJ87" s="414"/>
      <c r="AK87" s="414"/>
      <c r="AL87" s="414"/>
      <c r="AM87" s="296">
        <f>SUM(Y87:AL87)</f>
        <v>0</v>
      </c>
    </row>
    <row r="88" spans="1:39" s="283" customFormat="1" ht="15.5" outlineLevel="1">
      <c r="A88" s="503"/>
      <c r="B88" s="315" t="s">
        <v>214</v>
      </c>
      <c r="C88" s="291" t="s">
        <v>163</v>
      </c>
      <c r="D88" s="295"/>
      <c r="E88" s="295"/>
      <c r="F88" s="295"/>
      <c r="G88" s="295"/>
      <c r="H88" s="295"/>
      <c r="I88" s="295"/>
      <c r="J88" s="295"/>
      <c r="K88" s="295"/>
      <c r="L88" s="295"/>
      <c r="M88" s="295"/>
      <c r="N88" s="750"/>
      <c r="O88" s="295"/>
      <c r="P88" s="295"/>
      <c r="Q88" s="295"/>
      <c r="R88" s="295"/>
      <c r="S88" s="295"/>
      <c r="T88" s="295"/>
      <c r="U88" s="295"/>
      <c r="V88" s="295"/>
      <c r="W88" s="295"/>
      <c r="X88" s="295"/>
      <c r="Y88" s="760">
        <f>Y87</f>
        <v>0</v>
      </c>
      <c r="Z88" s="760">
        <f>Z87</f>
        <v>0</v>
      </c>
      <c r="AA88" s="760">
        <f t="shared" si="42" ref="AA88:AE88">AA87</f>
        <v>0</v>
      </c>
      <c r="AB88" s="760">
        <f t="shared" si="42"/>
        <v>0</v>
      </c>
      <c r="AC88" s="760">
        <f t="shared" si="42"/>
        <v>0</v>
      </c>
      <c r="AD88" s="760">
        <f t="shared" si="42"/>
        <v>0</v>
      </c>
      <c r="AE88" s="760">
        <f t="shared" si="42"/>
        <v>0</v>
      </c>
      <c r="AF88" s="410">
        <f t="shared" si="43" ref="AF88:AL88">AF87</f>
        <v>0</v>
      </c>
      <c r="AG88" s="410">
        <f t="shared" si="43"/>
        <v>0</v>
      </c>
      <c r="AH88" s="410">
        <f t="shared" si="43"/>
        <v>0</v>
      </c>
      <c r="AI88" s="410">
        <f t="shared" si="43"/>
        <v>0</v>
      </c>
      <c r="AJ88" s="410">
        <f t="shared" si="43"/>
        <v>0</v>
      </c>
      <c r="AK88" s="410">
        <f t="shared" si="43"/>
        <v>0</v>
      </c>
      <c r="AL88" s="410">
        <f t="shared" si="43"/>
        <v>0</v>
      </c>
      <c r="AM88" s="306"/>
    </row>
    <row r="89" spans="1:39" s="283" customFormat="1" ht="15.5" outlineLevel="1">
      <c r="A89" s="503"/>
      <c r="B89" s="315"/>
      <c r="C89" s="305"/>
      <c r="D89" s="750"/>
      <c r="E89" s="750"/>
      <c r="F89" s="750"/>
      <c r="G89" s="750"/>
      <c r="H89" s="750"/>
      <c r="I89" s="750"/>
      <c r="J89" s="750"/>
      <c r="K89" s="750"/>
      <c r="L89" s="750"/>
      <c r="M89" s="750"/>
      <c r="N89" s="750"/>
      <c r="O89" s="750"/>
      <c r="P89" s="750"/>
      <c r="Q89" s="750"/>
      <c r="R89" s="750"/>
      <c r="S89" s="750"/>
      <c r="T89" s="750"/>
      <c r="U89" s="750"/>
      <c r="V89" s="750"/>
      <c r="W89" s="750"/>
      <c r="X89" s="750"/>
      <c r="Y89" s="761"/>
      <c r="Z89" s="761"/>
      <c r="AA89" s="761"/>
      <c r="AB89" s="761"/>
      <c r="AC89" s="761"/>
      <c r="AD89" s="761"/>
      <c r="AE89" s="761"/>
      <c r="AF89" s="411"/>
      <c r="AG89" s="411"/>
      <c r="AH89" s="411"/>
      <c r="AI89" s="411"/>
      <c r="AJ89" s="411"/>
      <c r="AK89" s="411"/>
      <c r="AL89" s="411"/>
      <c r="AM89" s="306"/>
    </row>
    <row r="90" spans="1:39" s="293" customFormat="1" ht="15.5" outlineLevel="1">
      <c r="A90" s="504"/>
      <c r="B90" s="288" t="s">
        <v>14</v>
      </c>
      <c r="C90" s="289"/>
      <c r="D90" s="756"/>
      <c r="E90" s="756"/>
      <c r="F90" s="756"/>
      <c r="G90" s="756"/>
      <c r="H90" s="756"/>
      <c r="I90" s="756"/>
      <c r="J90" s="756"/>
      <c r="K90" s="756"/>
      <c r="L90" s="756"/>
      <c r="M90" s="756"/>
      <c r="N90" s="756"/>
      <c r="O90" s="756"/>
      <c r="P90" s="756"/>
      <c r="Q90" s="756"/>
      <c r="R90" s="756"/>
      <c r="S90" s="756"/>
      <c r="T90" s="756"/>
      <c r="U90" s="756"/>
      <c r="V90" s="756"/>
      <c r="W90" s="756"/>
      <c r="X90" s="756"/>
      <c r="Y90" s="763"/>
      <c r="Z90" s="763"/>
      <c r="AA90" s="763"/>
      <c r="AB90" s="763"/>
      <c r="AC90" s="763"/>
      <c r="AD90" s="763"/>
      <c r="AE90" s="763"/>
      <c r="AF90" s="413"/>
      <c r="AG90" s="413"/>
      <c r="AH90" s="413"/>
      <c r="AI90" s="413"/>
      <c r="AJ90" s="413"/>
      <c r="AK90" s="413"/>
      <c r="AL90" s="413"/>
      <c r="AM90" s="292"/>
    </row>
    <row r="91" spans="1:39" s="283" customFormat="1" ht="15.5" outlineLevel="1">
      <c r="A91" s="503">
        <v>23</v>
      </c>
      <c r="B91" s="315" t="s">
        <v>14</v>
      </c>
      <c r="C91" s="291" t="s">
        <v>25</v>
      </c>
      <c r="D91" s="295"/>
      <c r="E91" s="295"/>
      <c r="F91" s="295"/>
      <c r="G91" s="295"/>
      <c r="H91" s="295"/>
      <c r="I91" s="295"/>
      <c r="J91" s="295"/>
      <c r="K91" s="295"/>
      <c r="L91" s="295"/>
      <c r="M91" s="295"/>
      <c r="N91" s="750"/>
      <c r="O91" s="295"/>
      <c r="P91" s="295"/>
      <c r="Q91" s="295"/>
      <c r="R91" s="295"/>
      <c r="S91" s="295"/>
      <c r="T91" s="295"/>
      <c r="U91" s="295"/>
      <c r="V91" s="295"/>
      <c r="W91" s="295"/>
      <c r="X91" s="295"/>
      <c r="Y91" s="759"/>
      <c r="Z91" s="759"/>
      <c r="AA91" s="759"/>
      <c r="AB91" s="759"/>
      <c r="AC91" s="759"/>
      <c r="AD91" s="759"/>
      <c r="AE91" s="759"/>
      <c r="AF91" s="409"/>
      <c r="AG91" s="409"/>
      <c r="AH91" s="409"/>
      <c r="AI91" s="409"/>
      <c r="AJ91" s="409"/>
      <c r="AK91" s="409"/>
      <c r="AL91" s="409"/>
      <c r="AM91" s="296">
        <f>SUM(Y91:AL91)</f>
        <v>0</v>
      </c>
    </row>
    <row r="92" spans="1:39" s="283" customFormat="1" ht="15.5" outlineLevel="1">
      <c r="A92" s="503"/>
      <c r="B92" s="315" t="s">
        <v>214</v>
      </c>
      <c r="C92" s="291" t="s">
        <v>163</v>
      </c>
      <c r="D92" s="295"/>
      <c r="E92" s="295"/>
      <c r="F92" s="295"/>
      <c r="G92" s="295"/>
      <c r="H92" s="295"/>
      <c r="I92" s="295"/>
      <c r="J92" s="295"/>
      <c r="K92" s="295"/>
      <c r="L92" s="295"/>
      <c r="M92" s="295"/>
      <c r="N92" s="751"/>
      <c r="O92" s="295"/>
      <c r="P92" s="295"/>
      <c r="Q92" s="295"/>
      <c r="R92" s="295"/>
      <c r="S92" s="295"/>
      <c r="T92" s="295"/>
      <c r="U92" s="295"/>
      <c r="V92" s="295"/>
      <c r="W92" s="295"/>
      <c r="X92" s="295"/>
      <c r="Y92" s="760">
        <f>Y91</f>
        <v>0</v>
      </c>
      <c r="Z92" s="760">
        <f>Z91</f>
        <v>0</v>
      </c>
      <c r="AA92" s="760">
        <f t="shared" si="44" ref="AA92:AE92">AA91</f>
        <v>0</v>
      </c>
      <c r="AB92" s="760">
        <f t="shared" si="44"/>
        <v>0</v>
      </c>
      <c r="AC92" s="760">
        <f t="shared" si="44"/>
        <v>0</v>
      </c>
      <c r="AD92" s="760">
        <f t="shared" si="44"/>
        <v>0</v>
      </c>
      <c r="AE92" s="760">
        <f t="shared" si="44"/>
        <v>0</v>
      </c>
      <c r="AF92" s="410">
        <f t="shared" si="45" ref="AF92:AL92">AF91</f>
        <v>0</v>
      </c>
      <c r="AG92" s="410">
        <f t="shared" si="45"/>
        <v>0</v>
      </c>
      <c r="AH92" s="410">
        <f t="shared" si="45"/>
        <v>0</v>
      </c>
      <c r="AI92" s="410">
        <f t="shared" si="45"/>
        <v>0</v>
      </c>
      <c r="AJ92" s="410">
        <f t="shared" si="45"/>
        <v>0</v>
      </c>
      <c r="AK92" s="410">
        <f t="shared" si="45"/>
        <v>0</v>
      </c>
      <c r="AL92" s="410">
        <f t="shared" si="45"/>
        <v>0</v>
      </c>
      <c r="AM92" s="297"/>
    </row>
    <row r="93" spans="1:39" s="283" customFormat="1" ht="15.5" outlineLevel="1">
      <c r="A93" s="503"/>
      <c r="B93" s="315"/>
      <c r="C93" s="305"/>
      <c r="D93" s="750"/>
      <c r="E93" s="750"/>
      <c r="F93" s="750"/>
      <c r="G93" s="750"/>
      <c r="H93" s="750"/>
      <c r="I93" s="750"/>
      <c r="J93" s="750"/>
      <c r="K93" s="750"/>
      <c r="L93" s="750"/>
      <c r="M93" s="750"/>
      <c r="N93" s="750"/>
      <c r="O93" s="750"/>
      <c r="P93" s="750"/>
      <c r="Q93" s="750"/>
      <c r="R93" s="750"/>
      <c r="S93" s="750"/>
      <c r="T93" s="750"/>
      <c r="U93" s="750"/>
      <c r="V93" s="750"/>
      <c r="W93" s="750"/>
      <c r="X93" s="750"/>
      <c r="Y93" s="761"/>
      <c r="Z93" s="761"/>
      <c r="AA93" s="761"/>
      <c r="AB93" s="761"/>
      <c r="AC93" s="761"/>
      <c r="AD93" s="761"/>
      <c r="AE93" s="761"/>
      <c r="AF93" s="411"/>
      <c r="AG93" s="411"/>
      <c r="AH93" s="411"/>
      <c r="AI93" s="411"/>
      <c r="AJ93" s="411"/>
      <c r="AK93" s="411"/>
      <c r="AL93" s="411"/>
      <c r="AM93" s="306"/>
    </row>
    <row r="94" spans="1:39" s="293" customFormat="1" ht="15.5" outlineLevel="1">
      <c r="A94" s="504"/>
      <c r="B94" s="288" t="s">
        <v>487</v>
      </c>
      <c r="C94" s="289"/>
      <c r="D94" s="756"/>
      <c r="E94" s="756"/>
      <c r="F94" s="756"/>
      <c r="G94" s="756"/>
      <c r="H94" s="756"/>
      <c r="I94" s="756"/>
      <c r="J94" s="756"/>
      <c r="K94" s="756"/>
      <c r="L94" s="756"/>
      <c r="M94" s="756"/>
      <c r="N94" s="756"/>
      <c r="O94" s="756"/>
      <c r="P94" s="756"/>
      <c r="Q94" s="756"/>
      <c r="R94" s="756"/>
      <c r="S94" s="756"/>
      <c r="T94" s="756"/>
      <c r="U94" s="756"/>
      <c r="V94" s="756"/>
      <c r="W94" s="756"/>
      <c r="X94" s="756"/>
      <c r="Y94" s="763"/>
      <c r="Z94" s="763"/>
      <c r="AA94" s="763"/>
      <c r="AB94" s="763"/>
      <c r="AC94" s="763"/>
      <c r="AD94" s="763"/>
      <c r="AE94" s="763"/>
      <c r="AF94" s="413"/>
      <c r="AG94" s="413"/>
      <c r="AH94" s="413"/>
      <c r="AI94" s="413"/>
      <c r="AJ94" s="413"/>
      <c r="AK94" s="413"/>
      <c r="AL94" s="413"/>
      <c r="AM94" s="292"/>
    </row>
    <row r="95" spans="1:39" s="283" customFormat="1" ht="15.5" outlineLevel="1">
      <c r="A95" s="503">
        <v>24</v>
      </c>
      <c r="B95" s="315" t="s">
        <v>14</v>
      </c>
      <c r="C95" s="291" t="s">
        <v>25</v>
      </c>
      <c r="D95" s="295"/>
      <c r="E95" s="295"/>
      <c r="F95" s="295"/>
      <c r="G95" s="295"/>
      <c r="H95" s="295"/>
      <c r="I95" s="295"/>
      <c r="J95" s="295"/>
      <c r="K95" s="295"/>
      <c r="L95" s="295"/>
      <c r="M95" s="295"/>
      <c r="N95" s="750"/>
      <c r="O95" s="295"/>
      <c r="P95" s="295"/>
      <c r="Q95" s="295"/>
      <c r="R95" s="295"/>
      <c r="S95" s="295"/>
      <c r="T95" s="295"/>
      <c r="U95" s="295"/>
      <c r="V95" s="295"/>
      <c r="W95" s="295"/>
      <c r="X95" s="295"/>
      <c r="Y95" s="759"/>
      <c r="Z95" s="759"/>
      <c r="AA95" s="759"/>
      <c r="AB95" s="759"/>
      <c r="AC95" s="759"/>
      <c r="AD95" s="759"/>
      <c r="AE95" s="759"/>
      <c r="AF95" s="409"/>
      <c r="AG95" s="409"/>
      <c r="AH95" s="409"/>
      <c r="AI95" s="409"/>
      <c r="AJ95" s="409"/>
      <c r="AK95" s="409"/>
      <c r="AL95" s="409"/>
      <c r="AM95" s="296">
        <f>SUM(Y95:AL95)</f>
        <v>0</v>
      </c>
    </row>
    <row r="96" spans="1:39" s="283" customFormat="1" ht="15.5" outlineLevel="1">
      <c r="A96" s="503"/>
      <c r="B96" s="315" t="s">
        <v>214</v>
      </c>
      <c r="C96" s="291" t="s">
        <v>163</v>
      </c>
      <c r="D96" s="295"/>
      <c r="E96" s="295"/>
      <c r="F96" s="295"/>
      <c r="G96" s="295"/>
      <c r="H96" s="295"/>
      <c r="I96" s="295"/>
      <c r="J96" s="295"/>
      <c r="K96" s="295"/>
      <c r="L96" s="295"/>
      <c r="M96" s="295"/>
      <c r="N96" s="751"/>
      <c r="O96" s="295"/>
      <c r="P96" s="295"/>
      <c r="Q96" s="295"/>
      <c r="R96" s="295"/>
      <c r="S96" s="295"/>
      <c r="T96" s="295"/>
      <c r="U96" s="295"/>
      <c r="V96" s="295"/>
      <c r="W96" s="295"/>
      <c r="X96" s="295"/>
      <c r="Y96" s="760">
        <f>Y95</f>
        <v>0</v>
      </c>
      <c r="Z96" s="760">
        <f>Z95</f>
        <v>0</v>
      </c>
      <c r="AA96" s="760">
        <f t="shared" si="46" ref="AA96:AE96">AA95</f>
        <v>0</v>
      </c>
      <c r="AB96" s="760">
        <f t="shared" si="46"/>
        <v>0</v>
      </c>
      <c r="AC96" s="760">
        <f t="shared" si="46"/>
        <v>0</v>
      </c>
      <c r="AD96" s="760">
        <f t="shared" si="46"/>
        <v>0</v>
      </c>
      <c r="AE96" s="760">
        <f t="shared" si="46"/>
        <v>0</v>
      </c>
      <c r="AF96" s="410">
        <f t="shared" si="47" ref="AF96:AL96">AF95</f>
        <v>0</v>
      </c>
      <c r="AG96" s="410">
        <f t="shared" si="47"/>
        <v>0</v>
      </c>
      <c r="AH96" s="410">
        <f t="shared" si="47"/>
        <v>0</v>
      </c>
      <c r="AI96" s="410">
        <f t="shared" si="47"/>
        <v>0</v>
      </c>
      <c r="AJ96" s="410">
        <f t="shared" si="47"/>
        <v>0</v>
      </c>
      <c r="AK96" s="410">
        <f t="shared" si="47"/>
        <v>0</v>
      </c>
      <c r="AL96" s="410">
        <f t="shared" si="47"/>
        <v>0</v>
      </c>
      <c r="AM96" s="297"/>
    </row>
    <row r="97" spans="1:39" s="283" customFormat="1" ht="15.5" outlineLevel="1">
      <c r="A97" s="503"/>
      <c r="B97" s="315"/>
      <c r="C97" s="305"/>
      <c r="D97" s="750"/>
      <c r="E97" s="750"/>
      <c r="F97" s="750"/>
      <c r="G97" s="750"/>
      <c r="H97" s="750"/>
      <c r="I97" s="750"/>
      <c r="J97" s="750"/>
      <c r="K97" s="750"/>
      <c r="L97" s="750"/>
      <c r="M97" s="750"/>
      <c r="N97" s="750"/>
      <c r="O97" s="750"/>
      <c r="P97" s="750"/>
      <c r="Q97" s="750"/>
      <c r="R97" s="750"/>
      <c r="S97" s="750"/>
      <c r="T97" s="750"/>
      <c r="U97" s="750"/>
      <c r="V97" s="750"/>
      <c r="W97" s="750"/>
      <c r="X97" s="750"/>
      <c r="Y97" s="761"/>
      <c r="Z97" s="761"/>
      <c r="AA97" s="761"/>
      <c r="AB97" s="761"/>
      <c r="AC97" s="761"/>
      <c r="AD97" s="761"/>
      <c r="AE97" s="761"/>
      <c r="AF97" s="411"/>
      <c r="AG97" s="411"/>
      <c r="AH97" s="411"/>
      <c r="AI97" s="411"/>
      <c r="AJ97" s="411"/>
      <c r="AK97" s="411"/>
      <c r="AL97" s="411"/>
      <c r="AM97" s="306"/>
    </row>
    <row r="98" spans="1:39" s="283" customFormat="1" ht="15.5" outlineLevel="1">
      <c r="A98" s="503">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764"/>
      <c r="Z98" s="764"/>
      <c r="AA98" s="764"/>
      <c r="AB98" s="764"/>
      <c r="AC98" s="764"/>
      <c r="AD98" s="764"/>
      <c r="AE98" s="764"/>
      <c r="AF98" s="414"/>
      <c r="AG98" s="414"/>
      <c r="AH98" s="414"/>
      <c r="AI98" s="414"/>
      <c r="AJ98" s="414"/>
      <c r="AK98" s="414"/>
      <c r="AL98" s="414"/>
      <c r="AM98" s="296">
        <f>SUM(Y98:AL98)</f>
        <v>0</v>
      </c>
    </row>
    <row r="99" spans="1:39" s="283" customFormat="1" ht="15.5" outlineLevel="1">
      <c r="A99" s="503"/>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760">
        <f>Y98</f>
        <v>0</v>
      </c>
      <c r="Z99" s="760">
        <f>Z98</f>
        <v>0</v>
      </c>
      <c r="AA99" s="760">
        <f t="shared" si="48" ref="AA99:AE99">AA98</f>
        <v>0</v>
      </c>
      <c r="AB99" s="760">
        <f t="shared" si="48"/>
        <v>0</v>
      </c>
      <c r="AC99" s="760">
        <f t="shared" si="48"/>
        <v>0</v>
      </c>
      <c r="AD99" s="760">
        <f t="shared" si="48"/>
        <v>0</v>
      </c>
      <c r="AE99" s="760">
        <f t="shared" si="48"/>
        <v>0</v>
      </c>
      <c r="AF99" s="410">
        <f t="shared" si="49" ref="AF99:AL99">AF98</f>
        <v>0</v>
      </c>
      <c r="AG99" s="410">
        <f t="shared" si="49"/>
        <v>0</v>
      </c>
      <c r="AH99" s="410">
        <f t="shared" si="49"/>
        <v>0</v>
      </c>
      <c r="AI99" s="410">
        <f t="shared" si="49"/>
        <v>0</v>
      </c>
      <c r="AJ99" s="410">
        <f t="shared" si="49"/>
        <v>0</v>
      </c>
      <c r="AK99" s="410">
        <f t="shared" si="49"/>
        <v>0</v>
      </c>
      <c r="AL99" s="410">
        <f t="shared" si="49"/>
        <v>0</v>
      </c>
      <c r="AM99" s="311"/>
    </row>
    <row r="100" spans="1:39" s="283" customFormat="1" ht="15.5" outlineLevel="1">
      <c r="A100" s="503"/>
      <c r="B100" s="314"/>
      <c r="C100" s="312"/>
      <c r="D100" s="750"/>
      <c r="E100" s="750"/>
      <c r="F100" s="750"/>
      <c r="G100" s="750"/>
      <c r="H100" s="750"/>
      <c r="I100" s="750"/>
      <c r="J100" s="750"/>
      <c r="K100" s="750"/>
      <c r="L100" s="750"/>
      <c r="M100" s="750"/>
      <c r="N100" s="750"/>
      <c r="O100" s="750"/>
      <c r="P100" s="750"/>
      <c r="Q100" s="750"/>
      <c r="R100" s="750"/>
      <c r="S100" s="750"/>
      <c r="T100" s="750"/>
      <c r="U100" s="750"/>
      <c r="V100" s="750"/>
      <c r="W100" s="750"/>
      <c r="X100" s="750"/>
      <c r="Y100" s="765"/>
      <c r="Z100" s="766"/>
      <c r="AA100" s="765"/>
      <c r="AB100" s="765"/>
      <c r="AC100" s="765"/>
      <c r="AD100" s="765"/>
      <c r="AE100" s="765"/>
      <c r="AF100" s="415"/>
      <c r="AG100" s="415"/>
      <c r="AH100" s="415"/>
      <c r="AI100" s="415"/>
      <c r="AJ100" s="415"/>
      <c r="AK100" s="415"/>
      <c r="AL100" s="415"/>
      <c r="AM100" s="313"/>
    </row>
    <row r="101" spans="1:39" s="293" customFormat="1" ht="15.5" outlineLevel="1">
      <c r="A101" s="504"/>
      <c r="B101" s="288" t="s">
        <v>15</v>
      </c>
      <c r="C101" s="319"/>
      <c r="D101" s="756"/>
      <c r="E101" s="756"/>
      <c r="F101" s="756"/>
      <c r="G101" s="756"/>
      <c r="H101" s="756"/>
      <c r="I101" s="756"/>
      <c r="J101" s="756"/>
      <c r="K101" s="756"/>
      <c r="L101" s="756"/>
      <c r="M101" s="756"/>
      <c r="N101" s="750"/>
      <c r="O101" s="756"/>
      <c r="P101" s="756"/>
      <c r="Q101" s="756"/>
      <c r="R101" s="756"/>
      <c r="S101" s="756"/>
      <c r="T101" s="756"/>
      <c r="U101" s="756"/>
      <c r="V101" s="756"/>
      <c r="W101" s="756"/>
      <c r="X101" s="756"/>
      <c r="Y101" s="763"/>
      <c r="Z101" s="763"/>
      <c r="AA101" s="763"/>
      <c r="AB101" s="763"/>
      <c r="AC101" s="763"/>
      <c r="AD101" s="763"/>
      <c r="AE101" s="763"/>
      <c r="AF101" s="413"/>
      <c r="AG101" s="413"/>
      <c r="AH101" s="413"/>
      <c r="AI101" s="413"/>
      <c r="AJ101" s="413"/>
      <c r="AK101" s="413"/>
      <c r="AL101" s="413"/>
      <c r="AM101" s="292"/>
    </row>
    <row r="102" spans="1:39" s="283" customFormat="1" ht="15.5" outlineLevel="1">
      <c r="A102" s="503">
        <v>26</v>
      </c>
      <c r="B102" s="320" t="s">
        <v>16</v>
      </c>
      <c r="C102" s="291" t="s">
        <v>25</v>
      </c>
      <c r="D102" s="295">
        <f>'7.  Persistence Report'!AQ38</f>
        <v>606286.25819361606</v>
      </c>
      <c r="E102" s="295">
        <f>'7.  Persistence Report'!AR38</f>
        <v>606286.25819361606</v>
      </c>
      <c r="F102" s="295">
        <f>'7.  Persistence Report'!AS38</f>
        <v>606286.25819361606</v>
      </c>
      <c r="G102" s="295">
        <f>'7.  Persistence Report'!AT38</f>
        <v>606286.25819361606</v>
      </c>
      <c r="H102" s="295">
        <f>'7.  Persistence Report'!AU38</f>
        <v>606286.25819361606</v>
      </c>
      <c r="I102" s="295">
        <f>'7.  Persistence Report'!AV38</f>
        <v>606286.25819361606</v>
      </c>
      <c r="J102" s="295">
        <f>'7.  Persistence Report'!AW38</f>
        <v>606286.25819361606</v>
      </c>
      <c r="K102" s="295">
        <f>'7.  Persistence Report'!AX38</f>
        <v>606286.25819361606</v>
      </c>
      <c r="L102" s="295">
        <f>'7.  Persistence Report'!AY38</f>
        <v>606286.25819361606</v>
      </c>
      <c r="M102" s="295">
        <f>'7.  Persistence Report'!AZ38</f>
        <v>606286.25819361606</v>
      </c>
      <c r="N102" s="295">
        <v>12</v>
      </c>
      <c r="O102" s="295">
        <f>'7.  Persistence Report'!L38</f>
        <v>112.89486208000002</v>
      </c>
      <c r="P102" s="295">
        <f>'7.  Persistence Report'!M38</f>
        <v>112.89486208000002</v>
      </c>
      <c r="Q102" s="295">
        <f>'7.  Persistence Report'!N38</f>
        <v>112.89486208000002</v>
      </c>
      <c r="R102" s="295">
        <f>'7.  Persistence Report'!O38</f>
        <v>112.89486208000002</v>
      </c>
      <c r="S102" s="295">
        <f>'7.  Persistence Report'!P38</f>
        <v>112.89486208000002</v>
      </c>
      <c r="T102" s="295">
        <f>'7.  Persistence Report'!Q38</f>
        <v>112.89486208000002</v>
      </c>
      <c r="U102" s="295">
        <f>'7.  Persistence Report'!R38</f>
        <v>112.89486208000002</v>
      </c>
      <c r="V102" s="295">
        <f>'7.  Persistence Report'!S38</f>
        <v>112.89486208000002</v>
      </c>
      <c r="W102" s="295">
        <f>'7.  Persistence Report'!T38</f>
        <v>112.89486208000002</v>
      </c>
      <c r="X102" s="295">
        <f>'7.  Persistence Report'!U38</f>
        <v>112.89486208000002</v>
      </c>
      <c r="Y102" s="759"/>
      <c r="Z102" s="759"/>
      <c r="AA102" s="759">
        <v>1</v>
      </c>
      <c r="AB102" s="759"/>
      <c r="AC102" s="759"/>
      <c r="AD102" s="759"/>
      <c r="AE102" s="764"/>
      <c r="AF102" s="414"/>
      <c r="AG102" s="414"/>
      <c r="AH102" s="414"/>
      <c r="AI102" s="414"/>
      <c r="AJ102" s="414"/>
      <c r="AK102" s="414"/>
      <c r="AL102" s="414"/>
      <c r="AM102" s="296">
        <f>SUM(Y102:AL102)</f>
        <v>1</v>
      </c>
    </row>
    <row r="103" spans="1:39" s="283" customFormat="1" ht="15.5" outlineLevel="1">
      <c r="A103" s="503"/>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760">
        <f>Y102</f>
        <v>0</v>
      </c>
      <c r="Z103" s="760">
        <f>Z102</f>
        <v>0</v>
      </c>
      <c r="AA103" s="760">
        <f t="shared" si="50" ref="AA103:AE103">AA102</f>
        <v>1</v>
      </c>
      <c r="AB103" s="760">
        <f t="shared" si="50"/>
        <v>0</v>
      </c>
      <c r="AC103" s="760">
        <f t="shared" si="50"/>
        <v>0</v>
      </c>
      <c r="AD103" s="760">
        <f t="shared" si="50"/>
        <v>0</v>
      </c>
      <c r="AE103" s="760">
        <f t="shared" si="50"/>
        <v>0</v>
      </c>
      <c r="AF103" s="410">
        <f t="shared" si="51" ref="AF103:AL103">AF102</f>
        <v>0</v>
      </c>
      <c r="AG103" s="410">
        <f t="shared" si="51"/>
        <v>0</v>
      </c>
      <c r="AH103" s="410">
        <f t="shared" si="51"/>
        <v>0</v>
      </c>
      <c r="AI103" s="410">
        <f t="shared" si="51"/>
        <v>0</v>
      </c>
      <c r="AJ103" s="410">
        <f t="shared" si="51"/>
        <v>0</v>
      </c>
      <c r="AK103" s="410">
        <f t="shared" si="51"/>
        <v>0</v>
      </c>
      <c r="AL103" s="410">
        <f t="shared" si="51"/>
        <v>0</v>
      </c>
      <c r="AM103" s="306"/>
    </row>
    <row r="104" spans="1:39" s="309" customFormat="1" ht="15.5" outlineLevel="1">
      <c r="A104" s="506"/>
      <c r="B104" s="321"/>
      <c r="C104" s="291"/>
      <c r="D104" s="750"/>
      <c r="E104" s="750"/>
      <c r="F104" s="750"/>
      <c r="G104" s="750"/>
      <c r="H104" s="750"/>
      <c r="I104" s="750"/>
      <c r="J104" s="750"/>
      <c r="K104" s="750"/>
      <c r="L104" s="750"/>
      <c r="M104" s="750"/>
      <c r="N104" s="750"/>
      <c r="O104" s="750"/>
      <c r="P104" s="750"/>
      <c r="Q104" s="750"/>
      <c r="R104" s="750"/>
      <c r="S104" s="750"/>
      <c r="T104" s="750"/>
      <c r="U104" s="750"/>
      <c r="V104" s="750"/>
      <c r="W104" s="750"/>
      <c r="X104" s="750"/>
      <c r="Y104" s="772"/>
      <c r="Z104" s="773"/>
      <c r="AA104" s="773"/>
      <c r="AB104" s="773"/>
      <c r="AC104" s="773"/>
      <c r="AD104" s="773"/>
      <c r="AE104" s="773"/>
      <c r="AF104" s="421"/>
      <c r="AG104" s="421"/>
      <c r="AH104" s="421"/>
      <c r="AI104" s="421"/>
      <c r="AJ104" s="421"/>
      <c r="AK104" s="421"/>
      <c r="AL104" s="421"/>
      <c r="AM104" s="297"/>
    </row>
    <row r="105" spans="1:39" s="283" customFormat="1" ht="15.5" outlineLevel="1">
      <c r="A105" s="503">
        <v>27</v>
      </c>
      <c r="B105" s="320" t="s">
        <v>17</v>
      </c>
      <c r="C105" s="291" t="s">
        <v>25</v>
      </c>
      <c r="D105" s="295">
        <f>'7.  Persistence Report'!AQ39</f>
        <v>1182.1891116275158</v>
      </c>
      <c r="E105" s="295">
        <f>'7.  Persistence Report'!AR39</f>
        <v>1182.1891116275158</v>
      </c>
      <c r="F105" s="295">
        <f>'7.  Persistence Report'!AS39</f>
        <v>1182.1891116275158</v>
      </c>
      <c r="G105" s="295">
        <f>'7.  Persistence Report'!AT39</f>
        <v>1182.1891116275158</v>
      </c>
      <c r="H105" s="295">
        <f>'7.  Persistence Report'!AU39</f>
        <v>1182.1891116275158</v>
      </c>
      <c r="I105" s="295">
        <f>'7.  Persistence Report'!AV39</f>
        <v>1182.1891116275158</v>
      </c>
      <c r="J105" s="295">
        <f>'7.  Persistence Report'!AW39</f>
        <v>1182.1891116275158</v>
      </c>
      <c r="K105" s="295">
        <f>'7.  Persistence Report'!AX39</f>
        <v>1182.1891116275158</v>
      </c>
      <c r="L105" s="295">
        <f>'7.  Persistence Report'!AY39</f>
        <v>1182.1891116275158</v>
      </c>
      <c r="M105" s="295">
        <f>'7.  Persistence Report'!AZ39</f>
        <v>1182.1891116275158</v>
      </c>
      <c r="N105" s="295">
        <v>12</v>
      </c>
      <c r="O105" s="295">
        <f>'7.  Persistence Report'!L39</f>
        <v>0.23017700771563779</v>
      </c>
      <c r="P105" s="295">
        <f>'7.  Persistence Report'!M39</f>
        <v>0.23017700771563779</v>
      </c>
      <c r="Q105" s="295">
        <f>'7.  Persistence Report'!N39</f>
        <v>0.23017700771563779</v>
      </c>
      <c r="R105" s="295">
        <f>'7.  Persistence Report'!O39</f>
        <v>0.23017700771563779</v>
      </c>
      <c r="S105" s="295">
        <f>'7.  Persistence Report'!P39</f>
        <v>0.23017700771563779</v>
      </c>
      <c r="T105" s="295">
        <f>'7.  Persistence Report'!Q39</f>
        <v>0.23017700771563779</v>
      </c>
      <c r="U105" s="295">
        <f>'7.  Persistence Report'!R39</f>
        <v>0.23017700771563779</v>
      </c>
      <c r="V105" s="295">
        <f>'7.  Persistence Report'!S39</f>
        <v>0.23017700771563779</v>
      </c>
      <c r="W105" s="295">
        <f>'7.  Persistence Report'!T39</f>
        <v>0.23017700771563779</v>
      </c>
      <c r="X105" s="295">
        <f>'7.  Persistence Report'!U39</f>
        <v>0.23017700771563779</v>
      </c>
      <c r="Y105" s="759"/>
      <c r="Z105" s="759"/>
      <c r="AA105" s="759"/>
      <c r="AB105" s="759">
        <v>1</v>
      </c>
      <c r="AC105" s="759"/>
      <c r="AD105" s="759"/>
      <c r="AE105" s="764"/>
      <c r="AF105" s="414"/>
      <c r="AG105" s="414"/>
      <c r="AH105" s="414"/>
      <c r="AI105" s="414"/>
      <c r="AJ105" s="414"/>
      <c r="AK105" s="414"/>
      <c r="AL105" s="414"/>
      <c r="AM105" s="296">
        <f>SUM(Y105:AL105)</f>
        <v>1</v>
      </c>
    </row>
    <row r="106" spans="1:39" s="283" customFormat="1" ht="15.5" outlineLevel="1">
      <c r="A106" s="503"/>
      <c r="B106" s="315" t="s">
        <v>214</v>
      </c>
      <c r="C106" s="291" t="s">
        <v>163</v>
      </c>
      <c r="D106" s="295">
        <f>'7.  Persistence Report'!AQ40</f>
        <v>0</v>
      </c>
      <c r="E106" s="295">
        <f>'7.  Persistence Report'!AR40</f>
        <v>0</v>
      </c>
      <c r="F106" s="295">
        <f>'7.  Persistence Report'!AS40</f>
        <v>0</v>
      </c>
      <c r="G106" s="295">
        <f>'7.  Persistence Report'!AT40</f>
        <v>0</v>
      </c>
      <c r="H106" s="295">
        <f>'7.  Persistence Report'!AU40</f>
        <v>0</v>
      </c>
      <c r="I106" s="295">
        <f>'7.  Persistence Report'!AV40</f>
        <v>0</v>
      </c>
      <c r="J106" s="295">
        <f>'7.  Persistence Report'!AW40</f>
        <v>0</v>
      </c>
      <c r="K106" s="295">
        <f>'7.  Persistence Report'!AX40</f>
        <v>0</v>
      </c>
      <c r="L106" s="295">
        <f>'7.  Persistence Report'!AY40</f>
        <v>0</v>
      </c>
      <c r="M106" s="295">
        <f>'7.  Persistence Report'!AZ40</f>
        <v>0</v>
      </c>
      <c r="N106" s="295">
        <f>N105</f>
        <v>12</v>
      </c>
      <c r="O106" s="295">
        <f>'7.  Persistence Report'!L40</f>
        <v>0</v>
      </c>
      <c r="P106" s="295">
        <f>'7.  Persistence Report'!M40</f>
        <v>0</v>
      </c>
      <c r="Q106" s="295">
        <f>'7.  Persistence Report'!N40</f>
        <v>0</v>
      </c>
      <c r="R106" s="295">
        <f>'7.  Persistence Report'!O40</f>
        <v>0</v>
      </c>
      <c r="S106" s="295">
        <f>'7.  Persistence Report'!P40</f>
        <v>0</v>
      </c>
      <c r="T106" s="295">
        <f>'7.  Persistence Report'!Q40</f>
        <v>0</v>
      </c>
      <c r="U106" s="295">
        <f>'7.  Persistence Report'!R40</f>
        <v>0</v>
      </c>
      <c r="V106" s="295">
        <f>'7.  Persistence Report'!S40</f>
        <v>0</v>
      </c>
      <c r="W106" s="295">
        <f>'7.  Persistence Report'!T40</f>
        <v>0</v>
      </c>
      <c r="X106" s="295">
        <f>'7.  Persistence Report'!U40</f>
        <v>0</v>
      </c>
      <c r="Y106" s="760">
        <f>Y105</f>
        <v>0</v>
      </c>
      <c r="Z106" s="760">
        <f>Z105</f>
        <v>0</v>
      </c>
      <c r="AA106" s="760">
        <f>AA105</f>
        <v>0</v>
      </c>
      <c r="AB106" s="760">
        <f>AB105</f>
        <v>1</v>
      </c>
      <c r="AC106" s="760">
        <f t="shared" si="52" ref="AC106:AE106">AC105</f>
        <v>0</v>
      </c>
      <c r="AD106" s="760">
        <f t="shared" si="52"/>
        <v>0</v>
      </c>
      <c r="AE106" s="760">
        <f t="shared" si="52"/>
        <v>0</v>
      </c>
      <c r="AF106" s="410">
        <f t="shared" si="53" ref="AF106:AL106">AF105</f>
        <v>0</v>
      </c>
      <c r="AG106" s="410">
        <f t="shared" si="53"/>
        <v>0</v>
      </c>
      <c r="AH106" s="410">
        <f t="shared" si="53"/>
        <v>0</v>
      </c>
      <c r="AI106" s="410">
        <f t="shared" si="53"/>
        <v>0</v>
      </c>
      <c r="AJ106" s="410">
        <f t="shared" si="53"/>
        <v>0</v>
      </c>
      <c r="AK106" s="410">
        <f t="shared" si="53"/>
        <v>0</v>
      </c>
      <c r="AL106" s="410">
        <f t="shared" si="53"/>
        <v>0</v>
      </c>
      <c r="AM106" s="306"/>
    </row>
    <row r="107" spans="1:39" s="309" customFormat="1" ht="15.5" outlineLevel="1">
      <c r="A107" s="506"/>
      <c r="B107" s="322"/>
      <c r="C107" s="300"/>
      <c r="D107" s="750"/>
      <c r="E107" s="750"/>
      <c r="F107" s="750"/>
      <c r="G107" s="750"/>
      <c r="H107" s="750"/>
      <c r="I107" s="750"/>
      <c r="J107" s="750"/>
      <c r="K107" s="750"/>
      <c r="L107" s="750"/>
      <c r="M107" s="750"/>
      <c r="N107" s="758"/>
      <c r="O107" s="750"/>
      <c r="P107" s="750"/>
      <c r="Q107" s="750"/>
      <c r="R107" s="750"/>
      <c r="S107" s="750"/>
      <c r="T107" s="750"/>
      <c r="U107" s="750"/>
      <c r="V107" s="750"/>
      <c r="W107" s="750"/>
      <c r="X107" s="750"/>
      <c r="Y107" s="761"/>
      <c r="Z107" s="761"/>
      <c r="AA107" s="761"/>
      <c r="AB107" s="761"/>
      <c r="AC107" s="761"/>
      <c r="AD107" s="761"/>
      <c r="AE107" s="761"/>
      <c r="AF107" s="411"/>
      <c r="AG107" s="411"/>
      <c r="AH107" s="411"/>
      <c r="AI107" s="411"/>
      <c r="AJ107" s="411"/>
      <c r="AK107" s="411"/>
      <c r="AL107" s="411"/>
      <c r="AM107" s="306"/>
    </row>
    <row r="108" spans="1:39" s="283" customFormat="1" ht="15.5" outlineLevel="1">
      <c r="A108" s="503">
        <v>28</v>
      </c>
      <c r="B108" s="320"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759"/>
      <c r="Z108" s="759"/>
      <c r="AA108" s="759"/>
      <c r="AB108" s="759"/>
      <c r="AC108" s="759"/>
      <c r="AD108" s="759"/>
      <c r="AE108" s="764"/>
      <c r="AF108" s="414"/>
      <c r="AG108" s="414"/>
      <c r="AH108" s="414"/>
      <c r="AI108" s="414"/>
      <c r="AJ108" s="414"/>
      <c r="AK108" s="414"/>
      <c r="AL108" s="414"/>
      <c r="AM108" s="296">
        <f>SUM(Y108:AL108)</f>
        <v>0</v>
      </c>
    </row>
    <row r="109" spans="1:39" s="283" customFormat="1" ht="15.5" outlineLevel="1">
      <c r="A109" s="503"/>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760">
        <f>Y108</f>
        <v>0</v>
      </c>
      <c r="Z109" s="760">
        <f>Z108</f>
        <v>0</v>
      </c>
      <c r="AA109" s="760">
        <f t="shared" si="54" ref="AA109:AE109">AA108</f>
        <v>0</v>
      </c>
      <c r="AB109" s="760">
        <f t="shared" si="54"/>
        <v>0</v>
      </c>
      <c r="AC109" s="760">
        <f t="shared" si="54"/>
        <v>0</v>
      </c>
      <c r="AD109" s="760">
        <f t="shared" si="54"/>
        <v>0</v>
      </c>
      <c r="AE109" s="760">
        <f t="shared" si="54"/>
        <v>0</v>
      </c>
      <c r="AF109" s="410">
        <f t="shared" si="55" ref="AF109:AK109">AF108</f>
        <v>0</v>
      </c>
      <c r="AG109" s="410">
        <f t="shared" si="55"/>
        <v>0</v>
      </c>
      <c r="AH109" s="410">
        <f t="shared" si="55"/>
        <v>0</v>
      </c>
      <c r="AI109" s="410">
        <f t="shared" si="55"/>
        <v>0</v>
      </c>
      <c r="AJ109" s="410">
        <f t="shared" si="55"/>
        <v>0</v>
      </c>
      <c r="AK109" s="410">
        <f t="shared" si="55"/>
        <v>0</v>
      </c>
      <c r="AL109" s="410">
        <f>AL108</f>
        <v>0</v>
      </c>
      <c r="AM109" s="297"/>
    </row>
    <row r="110" spans="1:39" s="309" customFormat="1" ht="15.5" outlineLevel="1">
      <c r="A110" s="506"/>
      <c r="B110" s="321"/>
      <c r="C110" s="291"/>
      <c r="D110" s="750"/>
      <c r="E110" s="750"/>
      <c r="F110" s="750"/>
      <c r="G110" s="750"/>
      <c r="H110" s="750"/>
      <c r="I110" s="750"/>
      <c r="J110" s="750"/>
      <c r="K110" s="750"/>
      <c r="L110" s="750"/>
      <c r="M110" s="750"/>
      <c r="N110" s="750"/>
      <c r="O110" s="750"/>
      <c r="P110" s="750"/>
      <c r="Q110" s="750"/>
      <c r="R110" s="750"/>
      <c r="S110" s="750"/>
      <c r="T110" s="750"/>
      <c r="U110" s="750"/>
      <c r="V110" s="750"/>
      <c r="W110" s="750"/>
      <c r="X110" s="750"/>
      <c r="Y110" s="761"/>
      <c r="Z110" s="761"/>
      <c r="AA110" s="761"/>
      <c r="AB110" s="761"/>
      <c r="AC110" s="761"/>
      <c r="AD110" s="761"/>
      <c r="AE110" s="761"/>
      <c r="AF110" s="411"/>
      <c r="AG110" s="411"/>
      <c r="AH110" s="411"/>
      <c r="AI110" s="411"/>
      <c r="AJ110" s="411"/>
      <c r="AK110" s="411"/>
      <c r="AL110" s="411"/>
      <c r="AM110" s="306"/>
    </row>
    <row r="111" spans="1:39" s="283" customFormat="1" ht="15.5" outlineLevel="1">
      <c r="A111" s="503">
        <v>29</v>
      </c>
      <c r="B111" s="323"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759"/>
      <c r="Z111" s="759"/>
      <c r="AA111" s="759"/>
      <c r="AB111" s="759"/>
      <c r="AC111" s="759"/>
      <c r="AD111" s="759"/>
      <c r="AE111" s="764"/>
      <c r="AF111" s="414"/>
      <c r="AG111" s="414"/>
      <c r="AH111" s="414"/>
      <c r="AI111" s="414"/>
      <c r="AJ111" s="414"/>
      <c r="AK111" s="414"/>
      <c r="AL111" s="414"/>
      <c r="AM111" s="296">
        <f>SUM(Y111:AL111)</f>
        <v>0</v>
      </c>
    </row>
    <row r="112" spans="1:39" s="283" customFormat="1" ht="15.5" outlineLevel="1">
      <c r="A112" s="503"/>
      <c r="B112" s="323"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760">
        <f>Y111</f>
        <v>0</v>
      </c>
      <c r="Z112" s="760">
        <f t="shared" si="56" ref="Z112:AE112">Z111</f>
        <v>0</v>
      </c>
      <c r="AA112" s="760">
        <f t="shared" si="56"/>
        <v>0</v>
      </c>
      <c r="AB112" s="760">
        <f t="shared" si="56"/>
        <v>0</v>
      </c>
      <c r="AC112" s="760">
        <f t="shared" si="56"/>
        <v>0</v>
      </c>
      <c r="AD112" s="760">
        <f t="shared" si="56"/>
        <v>0</v>
      </c>
      <c r="AE112" s="760">
        <f t="shared" si="56"/>
        <v>0</v>
      </c>
      <c r="AF112" s="410">
        <f t="shared" si="57" ref="AF112:AK112">AF111</f>
        <v>0</v>
      </c>
      <c r="AG112" s="410">
        <f t="shared" si="57"/>
        <v>0</v>
      </c>
      <c r="AH112" s="410">
        <f t="shared" si="57"/>
        <v>0</v>
      </c>
      <c r="AI112" s="410">
        <f t="shared" si="57"/>
        <v>0</v>
      </c>
      <c r="AJ112" s="410">
        <f t="shared" si="57"/>
        <v>0</v>
      </c>
      <c r="AK112" s="410">
        <f t="shared" si="57"/>
        <v>0</v>
      </c>
      <c r="AL112" s="410">
        <f>AL111</f>
        <v>0</v>
      </c>
      <c r="AM112" s="499"/>
    </row>
    <row r="113" spans="1:39" s="283" customFormat="1" ht="15.5" outlineLevel="1">
      <c r="A113" s="503"/>
      <c r="B113" s="323"/>
      <c r="C113" s="291"/>
      <c r="D113" s="750"/>
      <c r="E113" s="750"/>
      <c r="F113" s="750"/>
      <c r="G113" s="750"/>
      <c r="H113" s="750"/>
      <c r="I113" s="750"/>
      <c r="J113" s="750"/>
      <c r="K113" s="750"/>
      <c r="L113" s="750"/>
      <c r="M113" s="750"/>
      <c r="N113" s="750"/>
      <c r="O113" s="750"/>
      <c r="P113" s="750"/>
      <c r="Q113" s="750"/>
      <c r="R113" s="750"/>
      <c r="S113" s="750"/>
      <c r="T113" s="750"/>
      <c r="U113" s="750"/>
      <c r="V113" s="750"/>
      <c r="W113" s="750"/>
      <c r="X113" s="750"/>
      <c r="Y113" s="750"/>
      <c r="Z113" s="761"/>
      <c r="AA113" s="761"/>
      <c r="AB113" s="761"/>
      <c r="AC113" s="761"/>
      <c r="AD113" s="761"/>
      <c r="AE113" s="765"/>
      <c r="AF113" s="415"/>
      <c r="AG113" s="415"/>
      <c r="AH113" s="415"/>
      <c r="AI113" s="415"/>
      <c r="AJ113" s="415"/>
      <c r="AK113" s="415"/>
      <c r="AL113" s="415"/>
      <c r="AM113" s="313"/>
    </row>
    <row r="114" spans="1:39" s="283" customFormat="1" ht="15.5" outlineLevel="1">
      <c r="A114" s="503">
        <v>30</v>
      </c>
      <c r="B114" s="323"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759"/>
      <c r="Z114" s="759"/>
      <c r="AA114" s="759"/>
      <c r="AB114" s="759"/>
      <c r="AC114" s="759"/>
      <c r="AD114" s="759"/>
      <c r="AE114" s="764"/>
      <c r="AF114" s="414"/>
      <c r="AG114" s="414"/>
      <c r="AH114" s="414"/>
      <c r="AI114" s="414"/>
      <c r="AJ114" s="414"/>
      <c r="AK114" s="414"/>
      <c r="AL114" s="414"/>
      <c r="AM114" s="296">
        <f>SUM(Y114:AL114)</f>
        <v>0</v>
      </c>
    </row>
    <row r="115" spans="1:39" s="283" customFormat="1" ht="15.5" outlineLevel="1">
      <c r="A115" s="503"/>
      <c r="B115" s="323"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760">
        <f>Y114</f>
        <v>0</v>
      </c>
      <c r="Z115" s="760">
        <f t="shared" si="58" ref="Z115:AE115">Z114</f>
        <v>0</v>
      </c>
      <c r="AA115" s="760">
        <f t="shared" si="58"/>
        <v>0</v>
      </c>
      <c r="AB115" s="760">
        <f t="shared" si="58"/>
        <v>0</v>
      </c>
      <c r="AC115" s="760">
        <f t="shared" si="58"/>
        <v>0</v>
      </c>
      <c r="AD115" s="760">
        <f t="shared" si="58"/>
        <v>0</v>
      </c>
      <c r="AE115" s="760">
        <f t="shared" si="58"/>
        <v>0</v>
      </c>
      <c r="AF115" s="410">
        <f t="shared" si="59" ref="AF115:AL115">AF114</f>
        <v>0</v>
      </c>
      <c r="AG115" s="410">
        <f t="shared" si="59"/>
        <v>0</v>
      </c>
      <c r="AH115" s="410">
        <f t="shared" si="59"/>
        <v>0</v>
      </c>
      <c r="AI115" s="410">
        <f t="shared" si="59"/>
        <v>0</v>
      </c>
      <c r="AJ115" s="410">
        <f t="shared" si="59"/>
        <v>0</v>
      </c>
      <c r="AK115" s="410">
        <f t="shared" si="59"/>
        <v>0</v>
      </c>
      <c r="AL115" s="410">
        <f t="shared" si="59"/>
        <v>0</v>
      </c>
      <c r="AM115" s="499"/>
    </row>
    <row r="116" spans="1:39" s="283" customFormat="1" ht="15.5" outlineLevel="1">
      <c r="A116" s="503"/>
      <c r="B116" s="323"/>
      <c r="C116" s="291"/>
      <c r="D116" s="750"/>
      <c r="E116" s="750"/>
      <c r="F116" s="750"/>
      <c r="G116" s="750"/>
      <c r="H116" s="750"/>
      <c r="I116" s="750"/>
      <c r="J116" s="750"/>
      <c r="K116" s="750"/>
      <c r="L116" s="750"/>
      <c r="M116" s="750"/>
      <c r="N116" s="750"/>
      <c r="O116" s="750"/>
      <c r="P116" s="750"/>
      <c r="Q116" s="750"/>
      <c r="R116" s="750"/>
      <c r="S116" s="750"/>
      <c r="T116" s="750"/>
      <c r="U116" s="750"/>
      <c r="V116" s="750"/>
      <c r="W116" s="750"/>
      <c r="X116" s="750"/>
      <c r="Y116" s="750"/>
      <c r="Z116" s="761"/>
      <c r="AA116" s="761"/>
      <c r="AB116" s="761"/>
      <c r="AC116" s="761"/>
      <c r="AD116" s="761"/>
      <c r="AE116" s="765"/>
      <c r="AF116" s="415"/>
      <c r="AG116" s="415"/>
      <c r="AH116" s="415"/>
      <c r="AI116" s="415"/>
      <c r="AJ116" s="415"/>
      <c r="AK116" s="415"/>
      <c r="AL116" s="415"/>
      <c r="AM116" s="313"/>
    </row>
    <row r="117" spans="1:39" s="283" customFormat="1" ht="15.5" outlineLevel="1">
      <c r="A117" s="503"/>
      <c r="B117" s="288" t="s">
        <v>489</v>
      </c>
      <c r="C117" s="291"/>
      <c r="D117" s="750"/>
      <c r="E117" s="750"/>
      <c r="F117" s="750"/>
      <c r="G117" s="750"/>
      <c r="H117" s="750"/>
      <c r="I117" s="750"/>
      <c r="J117" s="750"/>
      <c r="K117" s="750"/>
      <c r="L117" s="750"/>
      <c r="M117" s="750"/>
      <c r="N117" s="750"/>
      <c r="O117" s="750"/>
      <c r="P117" s="750"/>
      <c r="Q117" s="750"/>
      <c r="R117" s="750"/>
      <c r="S117" s="750"/>
      <c r="T117" s="750"/>
      <c r="U117" s="750"/>
      <c r="V117" s="750"/>
      <c r="W117" s="750"/>
      <c r="X117" s="750"/>
      <c r="Y117" s="750"/>
      <c r="Z117" s="761"/>
      <c r="AA117" s="761"/>
      <c r="AB117" s="761"/>
      <c r="AC117" s="761"/>
      <c r="AD117" s="761"/>
      <c r="AE117" s="765"/>
      <c r="AF117" s="415"/>
      <c r="AG117" s="415"/>
      <c r="AH117" s="415"/>
      <c r="AI117" s="415"/>
      <c r="AJ117" s="415"/>
      <c r="AK117" s="415"/>
      <c r="AL117" s="415"/>
      <c r="AM117" s="313"/>
    </row>
    <row r="118" spans="1:39" s="283" customFormat="1" ht="15.5" outlineLevel="1">
      <c r="A118" s="503">
        <v>31</v>
      </c>
      <c r="B118" s="323"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759"/>
      <c r="Z118" s="759"/>
      <c r="AA118" s="759"/>
      <c r="AB118" s="759"/>
      <c r="AC118" s="759"/>
      <c r="AD118" s="759"/>
      <c r="AE118" s="764"/>
      <c r="AF118" s="414"/>
      <c r="AG118" s="414"/>
      <c r="AH118" s="414"/>
      <c r="AI118" s="414"/>
      <c r="AJ118" s="414"/>
      <c r="AK118" s="414"/>
      <c r="AL118" s="414"/>
      <c r="AM118" s="296">
        <f>SUM(Y118:AL118)</f>
        <v>0</v>
      </c>
    </row>
    <row r="119" spans="1:39" s="283" customFormat="1" ht="15.5" outlineLevel="1">
      <c r="A119" s="503"/>
      <c r="B119" s="323"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760">
        <f>Y118</f>
        <v>0</v>
      </c>
      <c r="Z119" s="760">
        <f t="shared" si="60" ref="Z119:AE119">Z118</f>
        <v>0</v>
      </c>
      <c r="AA119" s="760">
        <f t="shared" si="60"/>
        <v>0</v>
      </c>
      <c r="AB119" s="760">
        <f t="shared" si="60"/>
        <v>0</v>
      </c>
      <c r="AC119" s="760">
        <f t="shared" si="60"/>
        <v>0</v>
      </c>
      <c r="AD119" s="760">
        <f t="shared" si="60"/>
        <v>0</v>
      </c>
      <c r="AE119" s="760">
        <f t="shared" si="60"/>
        <v>0</v>
      </c>
      <c r="AF119" s="410">
        <f t="shared" si="61" ref="AF119:AL119">AF118</f>
        <v>0</v>
      </c>
      <c r="AG119" s="410">
        <f t="shared" si="61"/>
        <v>0</v>
      </c>
      <c r="AH119" s="410">
        <f t="shared" si="61"/>
        <v>0</v>
      </c>
      <c r="AI119" s="410">
        <f t="shared" si="61"/>
        <v>0</v>
      </c>
      <c r="AJ119" s="410">
        <f t="shared" si="61"/>
        <v>0</v>
      </c>
      <c r="AK119" s="410">
        <f t="shared" si="61"/>
        <v>0</v>
      </c>
      <c r="AL119" s="410">
        <f t="shared" si="61"/>
        <v>0</v>
      </c>
      <c r="AM119" s="499"/>
    </row>
    <row r="120" spans="1:39" s="283" customFormat="1" ht="15.5" outlineLevel="1">
      <c r="A120" s="503"/>
      <c r="B120" s="323"/>
      <c r="C120" s="291"/>
      <c r="D120" s="750"/>
      <c r="E120" s="750"/>
      <c r="F120" s="750"/>
      <c r="G120" s="750"/>
      <c r="H120" s="750"/>
      <c r="I120" s="750"/>
      <c r="J120" s="750"/>
      <c r="K120" s="750"/>
      <c r="L120" s="750"/>
      <c r="M120" s="750"/>
      <c r="N120" s="750"/>
      <c r="O120" s="750"/>
      <c r="P120" s="750"/>
      <c r="Q120" s="750"/>
      <c r="R120" s="750"/>
      <c r="S120" s="750"/>
      <c r="T120" s="750"/>
      <c r="U120" s="750"/>
      <c r="V120" s="750"/>
      <c r="W120" s="750"/>
      <c r="X120" s="750"/>
      <c r="Y120" s="761"/>
      <c r="Z120" s="761"/>
      <c r="AA120" s="761"/>
      <c r="AB120" s="761"/>
      <c r="AC120" s="761"/>
      <c r="AD120" s="761"/>
      <c r="AE120" s="765"/>
      <c r="AF120" s="415"/>
      <c r="AG120" s="415"/>
      <c r="AH120" s="415"/>
      <c r="AI120" s="415"/>
      <c r="AJ120" s="415"/>
      <c r="AK120" s="415"/>
      <c r="AL120" s="415"/>
      <c r="AM120" s="313"/>
    </row>
    <row r="121" spans="1:39" s="283" customFormat="1" ht="15.5" outlineLevel="1">
      <c r="A121" s="503">
        <v>32</v>
      </c>
      <c r="B121" s="323"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759"/>
      <c r="Z121" s="759"/>
      <c r="AA121" s="759"/>
      <c r="AB121" s="759"/>
      <c r="AC121" s="759"/>
      <c r="AD121" s="759"/>
      <c r="AE121" s="764"/>
      <c r="AF121" s="414"/>
      <c r="AG121" s="414"/>
      <c r="AH121" s="414"/>
      <c r="AI121" s="414"/>
      <c r="AJ121" s="414"/>
      <c r="AK121" s="414"/>
      <c r="AL121" s="414"/>
      <c r="AM121" s="296">
        <f>SUM(Y121:AL121)</f>
        <v>0</v>
      </c>
    </row>
    <row r="122" spans="1:39" s="283" customFormat="1" ht="15.5" outlineLevel="1">
      <c r="A122" s="503"/>
      <c r="B122" s="323"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760">
        <f>Y121</f>
        <v>0</v>
      </c>
      <c r="Z122" s="760">
        <f t="shared" si="62" ref="Z122:AE122">Z121</f>
        <v>0</v>
      </c>
      <c r="AA122" s="760">
        <f t="shared" si="62"/>
        <v>0</v>
      </c>
      <c r="AB122" s="760">
        <f t="shared" si="62"/>
        <v>0</v>
      </c>
      <c r="AC122" s="760">
        <f t="shared" si="62"/>
        <v>0</v>
      </c>
      <c r="AD122" s="760">
        <f t="shared" si="62"/>
        <v>0</v>
      </c>
      <c r="AE122" s="760">
        <f t="shared" si="62"/>
        <v>0</v>
      </c>
      <c r="AF122" s="410">
        <f t="shared" si="63" ref="AF122:AL122">AF121</f>
        <v>0</v>
      </c>
      <c r="AG122" s="410">
        <f t="shared" si="63"/>
        <v>0</v>
      </c>
      <c r="AH122" s="410">
        <f t="shared" si="63"/>
        <v>0</v>
      </c>
      <c r="AI122" s="410">
        <f t="shared" si="63"/>
        <v>0</v>
      </c>
      <c r="AJ122" s="410">
        <f t="shared" si="63"/>
        <v>0</v>
      </c>
      <c r="AK122" s="410">
        <f t="shared" si="63"/>
        <v>0</v>
      </c>
      <c r="AL122" s="410">
        <f t="shared" si="63"/>
        <v>0</v>
      </c>
      <c r="AM122" s="499"/>
    </row>
    <row r="123" spans="1:39" s="283" customFormat="1" ht="15.5" outlineLevel="1">
      <c r="A123" s="503"/>
      <c r="B123" s="323"/>
      <c r="C123" s="291"/>
      <c r="D123" s="750"/>
      <c r="E123" s="750"/>
      <c r="F123" s="750"/>
      <c r="G123" s="750"/>
      <c r="H123" s="750"/>
      <c r="I123" s="750"/>
      <c r="J123" s="750"/>
      <c r="K123" s="750"/>
      <c r="L123" s="750"/>
      <c r="M123" s="750"/>
      <c r="N123" s="750"/>
      <c r="O123" s="750"/>
      <c r="P123" s="750"/>
      <c r="Q123" s="750"/>
      <c r="R123" s="750"/>
      <c r="S123" s="750"/>
      <c r="T123" s="750"/>
      <c r="U123" s="750"/>
      <c r="V123" s="750"/>
      <c r="W123" s="750"/>
      <c r="X123" s="750"/>
      <c r="Y123" s="761"/>
      <c r="Z123" s="761"/>
      <c r="AA123" s="761"/>
      <c r="AB123" s="761"/>
      <c r="AC123" s="761"/>
      <c r="AD123" s="761"/>
      <c r="AE123" s="765"/>
      <c r="AF123" s="415"/>
      <c r="AG123" s="415"/>
      <c r="AH123" s="415"/>
      <c r="AI123" s="415"/>
      <c r="AJ123" s="415"/>
      <c r="AK123" s="415"/>
      <c r="AL123" s="415"/>
      <c r="AM123" s="313"/>
    </row>
    <row r="124" spans="1:39" s="283" customFormat="1" ht="15.5" outlineLevel="1">
      <c r="A124" s="503">
        <v>33</v>
      </c>
      <c r="B124" s="323"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59"/>
      <c r="Z124" s="759"/>
      <c r="AA124" s="759"/>
      <c r="AB124" s="759"/>
      <c r="AC124" s="759"/>
      <c r="AD124" s="759"/>
      <c r="AE124" s="764"/>
      <c r="AF124" s="414"/>
      <c r="AG124" s="414"/>
      <c r="AH124" s="414"/>
      <c r="AI124" s="414"/>
      <c r="AJ124" s="414"/>
      <c r="AK124" s="414"/>
      <c r="AL124" s="414"/>
      <c r="AM124" s="296">
        <f>SUM(Y124:AL124)</f>
        <v>0</v>
      </c>
    </row>
    <row r="125" spans="1:39" s="283" customFormat="1" ht="15.5" outlineLevel="1">
      <c r="A125" s="503"/>
      <c r="B125" s="323"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60">
        <f>Y124</f>
        <v>0</v>
      </c>
      <c r="Z125" s="760">
        <f t="shared" si="64" ref="Z125:AE125">Z124</f>
        <v>0</v>
      </c>
      <c r="AA125" s="760">
        <f t="shared" si="64"/>
        <v>0</v>
      </c>
      <c r="AB125" s="760">
        <f t="shared" si="64"/>
        <v>0</v>
      </c>
      <c r="AC125" s="760">
        <f t="shared" si="64"/>
        <v>0</v>
      </c>
      <c r="AD125" s="760">
        <f t="shared" si="64"/>
        <v>0</v>
      </c>
      <c r="AE125" s="760">
        <f t="shared" si="64"/>
        <v>0</v>
      </c>
      <c r="AF125" s="410">
        <f t="shared" si="65" ref="AF125:AL125">AF124</f>
        <v>0</v>
      </c>
      <c r="AG125" s="410">
        <f t="shared" si="65"/>
        <v>0</v>
      </c>
      <c r="AH125" s="410">
        <f t="shared" si="65"/>
        <v>0</v>
      </c>
      <c r="AI125" s="410">
        <f t="shared" si="65"/>
        <v>0</v>
      </c>
      <c r="AJ125" s="410">
        <f t="shared" si="65"/>
        <v>0</v>
      </c>
      <c r="AK125" s="410">
        <f t="shared" si="65"/>
        <v>0</v>
      </c>
      <c r="AL125" s="410">
        <f t="shared" si="65"/>
        <v>0</v>
      </c>
      <c r="AM125" s="499"/>
    </row>
    <row r="126" spans="1:39" s="283" customFormat="1" ht="15.5" outlineLevel="1">
      <c r="A126" s="503"/>
      <c r="B126" s="315"/>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6"/>
    </row>
    <row r="127" spans="1:39" s="283" customFormat="1" ht="15.5">
      <c r="A127" s="503"/>
      <c r="B127" s="326" t="s">
        <v>237</v>
      </c>
      <c r="C127" s="327"/>
      <c r="D127" s="327">
        <f>SUM(D22:D125)</f>
        <v>2245334.6748896148</v>
      </c>
      <c r="E127" s="327"/>
      <c r="F127" s="327"/>
      <c r="G127" s="327"/>
      <c r="H127" s="327"/>
      <c r="I127" s="327"/>
      <c r="J127" s="327"/>
      <c r="K127" s="327"/>
      <c r="L127" s="327"/>
      <c r="M127" s="327"/>
      <c r="N127" s="327"/>
      <c r="O127" s="327">
        <f>SUM(O22:O125)</f>
        <v>472.89813519086238</v>
      </c>
      <c r="P127" s="327"/>
      <c r="Q127" s="327"/>
      <c r="R127" s="327"/>
      <c r="S127" s="327"/>
      <c r="T127" s="327"/>
      <c r="U127" s="327"/>
      <c r="V127" s="327"/>
      <c r="W127" s="327"/>
      <c r="X127" s="327"/>
      <c r="Y127" s="328">
        <f>IF(Y21="kWh",SUMPRODUCT(D22:D125,Y22:Y125))</f>
        <v>622434.94459032675</v>
      </c>
      <c r="Z127" s="328">
        <f>IF(Z21="kWh",SUMPRODUCT(D22:D125,Z22:Z125))</f>
        <v>614431.26012000686</v>
      </c>
      <c r="AA127" s="328">
        <f>IF(AA21="kW",SUMPRODUCT(N22:N125,O22:O125,AA22:AA125),SUMPRODUCT(D22:D125,AA22:AA125))</f>
        <v>2374.7830990463208</v>
      </c>
      <c r="AB127" s="328">
        <f>IF(AB21="kW",SUMPRODUCT(N22:N125,O22:O125,AB22:AB125),SUMPRODUCT(D22:D125,AB22:AB125))</f>
        <v>2.7621240925876536</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3" customFormat="1" ht="15.5">
      <c r="A128" s="503"/>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39" s="303" customFormat="1" ht="15.5">
      <c r="A129" s="505"/>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300"/>
      <c r="Z129" s="300"/>
      <c r="AA129" s="300"/>
      <c r="AB129" s="300"/>
      <c r="AC129" s="300"/>
      <c r="AD129" s="300"/>
      <c r="AE129" s="300"/>
      <c r="AF129" s="300"/>
      <c r="AG129" s="300"/>
      <c r="AH129" s="300"/>
      <c r="AI129" s="300"/>
      <c r="AJ129" s="300"/>
      <c r="AK129" s="300"/>
      <c r="AL129" s="300"/>
      <c r="AM129" s="336"/>
    </row>
    <row r="130" spans="1:40" s="343" customFormat="1" ht="15.5">
      <c r="A130" s="502"/>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39" s="303" customFormat="1" ht="15.5">
      <c r="A131" s="505"/>
      <c r="B131" s="298" t="s">
        <v>253</v>
      </c>
      <c r="C131" s="344"/>
      <c r="D131" s="335"/>
      <c r="E131" s="333"/>
      <c r="F131" s="333"/>
      <c r="G131" s="333"/>
      <c r="H131" s="333"/>
      <c r="I131" s="333"/>
      <c r="J131" s="333"/>
      <c r="K131" s="333"/>
      <c r="L131" s="333"/>
      <c r="M131" s="333"/>
      <c r="N131" s="333"/>
      <c r="O131" s="300"/>
      <c r="P131" s="333"/>
      <c r="Q131" s="333"/>
      <c r="R131" s="333"/>
      <c r="S131" s="335"/>
      <c r="T131" s="335"/>
      <c r="U131" s="335"/>
      <c r="V131" s="335"/>
      <c r="W131" s="333"/>
      <c r="X131" s="333"/>
      <c r="Y131" s="345">
        <f t="shared" si="66" ref="Y131:AD131">Y127*Y130</f>
        <v>0</v>
      </c>
      <c r="Z131" s="345">
        <f t="shared" si="66"/>
        <v>0</v>
      </c>
      <c r="AA131" s="346">
        <f t="shared" si="66"/>
        <v>0</v>
      </c>
      <c r="AB131" s="346">
        <f t="shared" si="66"/>
        <v>0</v>
      </c>
      <c r="AC131" s="346">
        <f t="shared" si="66"/>
        <v>0</v>
      </c>
      <c r="AD131" s="346">
        <f t="shared" si="66"/>
        <v>0</v>
      </c>
      <c r="AE131" s="346">
        <f>AE127*AE130</f>
        <v>0</v>
      </c>
      <c r="AF131" s="346">
        <f t="shared" si="67" ref="AF131:AL131">AF127*AF130</f>
        <v>0</v>
      </c>
      <c r="AG131" s="346">
        <f t="shared" si="67"/>
        <v>0</v>
      </c>
      <c r="AH131" s="346">
        <f t="shared" si="67"/>
        <v>0</v>
      </c>
      <c r="AI131" s="346">
        <f t="shared" si="67"/>
        <v>0</v>
      </c>
      <c r="AJ131" s="346">
        <f t="shared" si="67"/>
        <v>0</v>
      </c>
      <c r="AK131" s="346">
        <f t="shared" si="67"/>
        <v>0</v>
      </c>
      <c r="AL131" s="346">
        <f t="shared" si="67"/>
        <v>0</v>
      </c>
      <c r="AM131" s="406">
        <f>SUM(Y131:AL131)</f>
        <v>0</v>
      </c>
    </row>
    <row r="132" spans="1:39" s="303" customFormat="1" ht="15.5">
      <c r="A132" s="505"/>
      <c r="B132" s="348" t="s">
        <v>210</v>
      </c>
      <c r="C132" s="344"/>
      <c r="D132" s="349"/>
      <c r="E132" s="333"/>
      <c r="F132" s="333"/>
      <c r="G132" s="333"/>
      <c r="H132" s="333"/>
      <c r="I132" s="333"/>
      <c r="J132" s="333"/>
      <c r="K132" s="333"/>
      <c r="L132" s="333"/>
      <c r="M132" s="333"/>
      <c r="N132" s="333"/>
      <c r="O132" s="300"/>
      <c r="P132" s="333"/>
      <c r="Q132" s="333"/>
      <c r="R132" s="333"/>
      <c r="S132" s="335"/>
      <c r="T132" s="335"/>
      <c r="U132" s="335"/>
      <c r="V132" s="335"/>
      <c r="W132" s="333"/>
      <c r="X132" s="333"/>
      <c r="Y132" s="346">
        <f t="shared" si="68" ref="Y132:AD132">Y128*Y130</f>
        <v>0</v>
      </c>
      <c r="Z132" s="346">
        <f t="shared" si="68"/>
        <v>0</v>
      </c>
      <c r="AA132" s="346">
        <f t="shared" si="68"/>
        <v>0</v>
      </c>
      <c r="AB132" s="346">
        <f t="shared" si="68"/>
        <v>0</v>
      </c>
      <c r="AC132" s="346">
        <f t="shared" si="68"/>
        <v>0</v>
      </c>
      <c r="AD132" s="346">
        <f t="shared" si="68"/>
        <v>0</v>
      </c>
      <c r="AE132" s="346">
        <f>AE128*AE130</f>
        <v>0</v>
      </c>
      <c r="AF132" s="346">
        <f t="shared" si="69" ref="AF132:AL132">AF128*AF130</f>
        <v>0</v>
      </c>
      <c r="AG132" s="346">
        <f t="shared" si="69"/>
        <v>0</v>
      </c>
      <c r="AH132" s="346">
        <f t="shared" si="69"/>
        <v>0</v>
      </c>
      <c r="AI132" s="346">
        <f t="shared" si="69"/>
        <v>0</v>
      </c>
      <c r="AJ132" s="346">
        <f t="shared" si="69"/>
        <v>0</v>
      </c>
      <c r="AK132" s="346">
        <f t="shared" si="69"/>
        <v>0</v>
      </c>
      <c r="AL132" s="346">
        <f t="shared" si="69"/>
        <v>0</v>
      </c>
      <c r="AM132" s="406">
        <f>SUM(Y132:AL132)</f>
        <v>0</v>
      </c>
    </row>
    <row r="133" spans="1:39" s="349" customFormat="1" ht="17.25" customHeight="1">
      <c r="A133" s="507"/>
      <c r="B133" s="348" t="s">
        <v>256</v>
      </c>
      <c r="C133" s="344"/>
      <c r="E133" s="333"/>
      <c r="F133" s="333"/>
      <c r="G133" s="333"/>
      <c r="H133" s="333"/>
      <c r="I133" s="333"/>
      <c r="J133" s="333"/>
      <c r="K133" s="333"/>
      <c r="L133" s="333"/>
      <c r="M133" s="333"/>
      <c r="N133" s="333"/>
      <c r="O133" s="300"/>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39" s="353" customFormat="1" ht="19.5" customHeight="1">
      <c r="A134" s="502"/>
      <c r="B134" s="323"/>
      <c r="C134" s="349"/>
      <c r="D134" s="349"/>
      <c r="E134" s="333"/>
      <c r="F134" s="333"/>
      <c r="G134" s="333"/>
      <c r="H134" s="333"/>
      <c r="I134" s="333"/>
      <c r="J134" s="333"/>
      <c r="K134" s="333"/>
      <c r="L134" s="333"/>
      <c r="M134" s="333"/>
      <c r="N134" s="333"/>
      <c r="O134" s="300"/>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39" s="283" customFormat="1" ht="15.5">
      <c r="A135" s="503"/>
      <c r="B135" s="354" t="s">
        <v>215</v>
      </c>
      <c r="C135" s="355"/>
      <c r="D135" s="279"/>
      <c r="E135" s="279"/>
      <c r="F135" s="279"/>
      <c r="G135" s="279"/>
      <c r="H135" s="279"/>
      <c r="I135" s="279"/>
      <c r="J135" s="279"/>
      <c r="K135" s="279"/>
      <c r="L135" s="279"/>
      <c r="M135" s="279"/>
      <c r="N135" s="279"/>
      <c r="O135" s="356"/>
      <c r="P135" s="279"/>
      <c r="Q135" s="279"/>
      <c r="R135" s="279"/>
      <c r="S135" s="304"/>
      <c r="T135" s="309"/>
      <c r="U135" s="309"/>
      <c r="V135" s="279"/>
      <c r="W135" s="279"/>
      <c r="X135" s="309"/>
      <c r="Y135" s="291">
        <f>SUMPRODUCT(E22:E125,Y22:Y125)</f>
        <v>622434.94459032675</v>
      </c>
      <c r="Z135" s="291">
        <f>SUMPRODUCT(E22:E125,Z22:Z125)</f>
        <v>614431.26012000686</v>
      </c>
      <c r="AA135" s="291">
        <f>IF(AA21="kW",SUMPRODUCT(N22:N125,P22:P125,AA22:AA125),SUMPRODUCT(E22:E125,AA22:AA125))</f>
        <v>2374.7830990463208</v>
      </c>
      <c r="AB135" s="291">
        <f>IF(AB21="kW",SUMPRODUCT(N22:N125,P22:P125,AB22:AB125),SUMPRODUCT(E22:E125,AB22:AB125))</f>
        <v>2.7621240925876536</v>
      </c>
      <c r="AC135" s="291">
        <f>IF(AC21="kW",SUMPRODUCT(N22:N125,P22:P125,AC22:AC125),SUMPRODUCT(E22:E125,AC22:AC125))</f>
        <v>0</v>
      </c>
      <c r="AD135" s="291">
        <f>IF(AD21="kW",SUMPRODUCT(N22:N125,P22:P125,AD22:AD125),SUMPRODUCT(E22:E125,AD22:AD125))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6"/>
    </row>
    <row r="136" spans="1:39" s="283" customFormat="1" ht="15.5">
      <c r="A136" s="503"/>
      <c r="B136" s="354" t="s">
        <v>216</v>
      </c>
      <c r="C136" s="355"/>
      <c r="D136" s="279"/>
      <c r="E136" s="279"/>
      <c r="F136" s="279"/>
      <c r="G136" s="279"/>
      <c r="H136" s="279"/>
      <c r="I136" s="279"/>
      <c r="J136" s="279"/>
      <c r="K136" s="279"/>
      <c r="L136" s="279"/>
      <c r="M136" s="279"/>
      <c r="N136" s="279"/>
      <c r="O136" s="356"/>
      <c r="P136" s="279"/>
      <c r="Q136" s="279"/>
      <c r="R136" s="279"/>
      <c r="S136" s="304"/>
      <c r="T136" s="309"/>
      <c r="U136" s="309"/>
      <c r="V136" s="279"/>
      <c r="W136" s="279"/>
      <c r="X136" s="309"/>
      <c r="Y136" s="291">
        <f>SUMPRODUCT(F22:F125,Y22:Y125)</f>
        <v>622434.94459032675</v>
      </c>
      <c r="Z136" s="291">
        <f>SUMPRODUCT(F22:F125,Z22:Z125)</f>
        <v>613802.20976318547</v>
      </c>
      <c r="AA136" s="291">
        <f>IF(AA21="kW",SUMPRODUCT(N22:N125,Q22:Q125,AA22:AA125),SUMPRODUCT(F22:F125,AA22:AA125))</f>
        <v>2371.5201931366901</v>
      </c>
      <c r="AB136" s="291">
        <f>IF(AB21="kW",SUMPRODUCT(N22:N125,Q22:Q125,AB22:AB125),SUMPRODUCT(F22:F125,AB22:AB125))</f>
        <v>2.7621240925876536</v>
      </c>
      <c r="AC136" s="291">
        <f>IF(AC21="kW",SUMPRODUCT(N22:N125,Q22:Q125,AC22:AC125),SUMPRODUCT(F22:F125,AC22:AC125))</f>
        <v>0</v>
      </c>
      <c r="AD136" s="291">
        <f>IF(AD21="kW",SUMPRODUCT(N22:N125,Q22:Q125,AD22:AD125),SUMPRODUCT(F22:F125,AD22:AD125))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6"/>
    </row>
    <row r="137" spans="1:39" s="283" customFormat="1" ht="15.5">
      <c r="A137" s="503"/>
      <c r="B137" s="354" t="s">
        <v>217</v>
      </c>
      <c r="C137" s="355"/>
      <c r="D137" s="279"/>
      <c r="E137" s="279"/>
      <c r="F137" s="279"/>
      <c r="G137" s="279"/>
      <c r="H137" s="279"/>
      <c r="I137" s="279"/>
      <c r="J137" s="279"/>
      <c r="K137" s="279"/>
      <c r="L137" s="279"/>
      <c r="M137" s="279"/>
      <c r="N137" s="279"/>
      <c r="O137" s="356"/>
      <c r="P137" s="279"/>
      <c r="Q137" s="279"/>
      <c r="R137" s="279"/>
      <c r="S137" s="304"/>
      <c r="T137" s="309"/>
      <c r="U137" s="309"/>
      <c r="V137" s="279"/>
      <c r="W137" s="279"/>
      <c r="X137" s="309"/>
      <c r="Y137" s="291">
        <f>SUMPRODUCT(G22:G125,Y22:Y125)</f>
        <v>621150.2449766139</v>
      </c>
      <c r="Z137" s="291">
        <f>SUMPRODUCT(G22:G125,Z22:Z125)</f>
        <v>599658.05722009612</v>
      </c>
      <c r="AA137" s="291">
        <f>IF(AA21="kW",SUMPRODUCT(N22:N125,R22:R125,AA22:AA125),SUMPRODUCT(G22:G125,AA22:AA125))</f>
        <v>2307.7483562376638</v>
      </c>
      <c r="AB137" s="291">
        <f>IF(AB21="kW",SUMPRODUCT(N22:N125,R22:R125,AB22:AB125),SUMPRODUCT(G22:G125,AB22:AB125))</f>
        <v>2.7621240925876536</v>
      </c>
      <c r="AC137" s="291">
        <f>IF(AC21="kW",SUMPRODUCT(N22:N125,R22:R125,AC22:AC125),SUMPRODUCT(G22:G125,AC22:AC125))</f>
        <v>0</v>
      </c>
      <c r="AD137" s="291">
        <f>IF(AD21="kW",SUMPRODUCT(N22:N125,R22:R125,AD22:AD125),SUMPRODUCT(G22:G125,AD22:AD125))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6"/>
    </row>
    <row r="138" spans="1:39" s="283" customFormat="1" ht="15.5">
      <c r="A138" s="503"/>
      <c r="B138" s="354" t="s">
        <v>218</v>
      </c>
      <c r="C138" s="355"/>
      <c r="D138" s="279"/>
      <c r="E138" s="279"/>
      <c r="F138" s="279"/>
      <c r="G138" s="279"/>
      <c r="H138" s="279"/>
      <c r="I138" s="279"/>
      <c r="J138" s="279"/>
      <c r="K138" s="279"/>
      <c r="L138" s="279"/>
      <c r="M138" s="279"/>
      <c r="N138" s="279"/>
      <c r="O138" s="356"/>
      <c r="P138" s="279"/>
      <c r="Q138" s="279"/>
      <c r="R138" s="279"/>
      <c r="S138" s="304"/>
      <c r="T138" s="309"/>
      <c r="U138" s="309"/>
      <c r="V138" s="279"/>
      <c r="W138" s="279"/>
      <c r="X138" s="309"/>
      <c r="Y138" s="291">
        <f>SUMPRODUCT(H22:H125,Y22:Y125)</f>
        <v>570496.76689568965</v>
      </c>
      <c r="Z138" s="291">
        <f>SUMPRODUCT(H22:H125,Z22:Z125)</f>
        <v>380982.34747009608</v>
      </c>
      <c r="AA138" s="291">
        <f>IF(AA21="kW",SUMPRODUCT(N22:N125,S22:S125,AA22:AA125),SUMPRODUCT(H22:H125,AA22:AA125))</f>
        <v>1777.8437353176637</v>
      </c>
      <c r="AB138" s="291">
        <f>IF(AB21="kW",SUMPRODUCT(N22:N125,S22:S125,AB22:AB125),SUMPRODUCT(H22:H125,AB22:AB125))</f>
        <v>2.7621240925876536</v>
      </c>
      <c r="AC138" s="291">
        <f>IF(AC21="kW",SUMPRODUCT(N22:N125,S22:S125,AC22:AC125),SUMPRODUCT(H22:H125,AC22:AC125))</f>
        <v>0</v>
      </c>
      <c r="AD138" s="291">
        <f>IF(AD21="kW",SUMPRODUCT(N22:N125,S22:S125,AD22:AD125),SUMPRODUCT(H22:H125,AD22:AD125))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6"/>
    </row>
    <row r="139" spans="1:39" s="283" customFormat="1" ht="15.5">
      <c r="A139" s="503"/>
      <c r="B139" s="354" t="s">
        <v>219</v>
      </c>
      <c r="C139" s="355"/>
      <c r="D139" s="279"/>
      <c r="E139" s="279"/>
      <c r="F139" s="279"/>
      <c r="G139" s="279"/>
      <c r="H139" s="279"/>
      <c r="I139" s="279"/>
      <c r="J139" s="279"/>
      <c r="K139" s="279"/>
      <c r="L139" s="279"/>
      <c r="M139" s="279"/>
      <c r="N139" s="279"/>
      <c r="O139" s="356"/>
      <c r="P139" s="279"/>
      <c r="Q139" s="279"/>
      <c r="R139" s="279"/>
      <c r="S139" s="304"/>
      <c r="T139" s="309"/>
      <c r="U139" s="309"/>
      <c r="V139" s="279"/>
      <c r="W139" s="279"/>
      <c r="X139" s="309"/>
      <c r="Y139" s="291"/>
      <c r="Z139" s="291"/>
      <c r="AA139" s="291"/>
      <c r="AB139" s="291"/>
      <c r="AC139" s="291"/>
      <c r="AD139" s="291"/>
      <c r="AE139" s="291"/>
      <c r="AF139" s="291"/>
      <c r="AG139" s="291"/>
      <c r="AH139" s="291"/>
      <c r="AI139" s="291"/>
      <c r="AJ139" s="291"/>
      <c r="AK139" s="291"/>
      <c r="AL139" s="291"/>
      <c r="AM139" s="336"/>
    </row>
    <row r="140" spans="1:39" s="283" customFormat="1" ht="15.5">
      <c r="A140" s="503"/>
      <c r="B140" s="354" t="s">
        <v>220</v>
      </c>
      <c r="C140" s="355"/>
      <c r="D140" s="309"/>
      <c r="E140" s="309"/>
      <c r="F140" s="309"/>
      <c r="G140" s="309"/>
      <c r="H140" s="309"/>
      <c r="I140" s="309"/>
      <c r="J140" s="309"/>
      <c r="K140" s="309"/>
      <c r="L140" s="309"/>
      <c r="M140" s="309"/>
      <c r="N140" s="309"/>
      <c r="O140" s="356"/>
      <c r="P140" s="309"/>
      <c r="Q140" s="309"/>
      <c r="R140" s="309"/>
      <c r="S140" s="304"/>
      <c r="T140" s="309"/>
      <c r="U140" s="309"/>
      <c r="V140" s="309"/>
      <c r="W140" s="309"/>
      <c r="X140" s="309"/>
      <c r="Y140" s="291"/>
      <c r="Z140" s="291"/>
      <c r="AA140" s="291"/>
      <c r="AB140" s="291"/>
      <c r="AC140" s="291"/>
      <c r="AD140" s="291"/>
      <c r="AE140" s="291"/>
      <c r="AF140" s="291"/>
      <c r="AG140" s="291"/>
      <c r="AH140" s="291"/>
      <c r="AI140" s="291"/>
      <c r="AJ140" s="291"/>
      <c r="AK140" s="291"/>
      <c r="AL140" s="291"/>
      <c r="AM140" s="336"/>
    </row>
    <row r="141" spans="1:39" s="283" customFormat="1" ht="15.5">
      <c r="A141" s="503"/>
      <c r="B141" s="354" t="s">
        <v>221</v>
      </c>
      <c r="C141" s="355"/>
      <c r="D141" s="334"/>
      <c r="E141" s="334"/>
      <c r="F141" s="334"/>
      <c r="G141" s="334"/>
      <c r="H141" s="334"/>
      <c r="I141" s="334"/>
      <c r="J141" s="334"/>
      <c r="K141" s="334"/>
      <c r="L141" s="334"/>
      <c r="M141" s="334"/>
      <c r="N141" s="334"/>
      <c r="O141" s="309"/>
      <c r="P141" s="279"/>
      <c r="Q141" s="279"/>
      <c r="R141" s="309"/>
      <c r="S141" s="304"/>
      <c r="T141" s="309"/>
      <c r="U141" s="309"/>
      <c r="V141" s="356"/>
      <c r="W141" s="356"/>
      <c r="X141" s="309"/>
      <c r="Y141" s="291"/>
      <c r="Z141" s="291"/>
      <c r="AA141" s="291"/>
      <c r="AB141" s="291"/>
      <c r="AC141" s="291"/>
      <c r="AD141" s="291"/>
      <c r="AE141" s="291"/>
      <c r="AF141" s="291"/>
      <c r="AG141" s="291"/>
      <c r="AH141" s="291"/>
      <c r="AI141" s="291"/>
      <c r="AJ141" s="291"/>
      <c r="AK141" s="291"/>
      <c r="AL141" s="291"/>
      <c r="AM141" s="336"/>
    </row>
    <row r="142" spans="1:39" s="283" customFormat="1" ht="15.5">
      <c r="A142" s="503"/>
      <c r="B142" s="354" t="s">
        <v>222</v>
      </c>
      <c r="C142" s="355"/>
      <c r="D142" s="334"/>
      <c r="E142" s="334"/>
      <c r="F142" s="334"/>
      <c r="G142" s="334"/>
      <c r="H142" s="334"/>
      <c r="I142" s="334"/>
      <c r="J142" s="334"/>
      <c r="K142" s="334"/>
      <c r="L142" s="334"/>
      <c r="M142" s="334"/>
      <c r="N142" s="334"/>
      <c r="O142" s="356"/>
      <c r="P142" s="279"/>
      <c r="Q142" s="279"/>
      <c r="R142" s="309"/>
      <c r="S142" s="304"/>
      <c r="T142" s="309"/>
      <c r="U142" s="309"/>
      <c r="V142" s="356"/>
      <c r="W142" s="356"/>
      <c r="X142" s="309"/>
      <c r="Y142" s="291"/>
      <c r="Z142" s="291"/>
      <c r="AA142" s="291"/>
      <c r="AB142" s="291"/>
      <c r="AC142" s="291"/>
      <c r="AD142" s="291"/>
      <c r="AE142" s="291"/>
      <c r="AF142" s="291"/>
      <c r="AG142" s="291"/>
      <c r="AH142" s="291"/>
      <c r="AI142" s="291"/>
      <c r="AJ142" s="291"/>
      <c r="AK142" s="291"/>
      <c r="AL142" s="291"/>
      <c r="AM142" s="336"/>
    </row>
    <row r="143" spans="2:40" ht="15.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c r="Z143" s="325"/>
      <c r="AA143" s="325"/>
      <c r="AB143" s="325"/>
      <c r="AC143" s="325"/>
      <c r="AD143" s="325"/>
      <c r="AE143" s="325"/>
      <c r="AF143" s="325"/>
      <c r="AG143" s="325"/>
      <c r="AH143" s="325"/>
      <c r="AI143" s="325"/>
      <c r="AJ143" s="325"/>
      <c r="AK143" s="325"/>
      <c r="AL143" s="325"/>
      <c r="AM143" s="365"/>
      <c r="AN143" s="366"/>
    </row>
    <row r="144" spans="2:40" ht="21.75" customHeight="1">
      <c r="B144" s="367" t="s">
        <v>586</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2:39" ht="15.5">
      <c r="B146" s="280" t="s">
        <v>242</v>
      </c>
      <c r="C146" s="281"/>
      <c r="D146" s="583" t="s">
        <v>525</v>
      </c>
      <c r="F146" s="583"/>
      <c r="O146" s="281"/>
      <c r="Y146" s="270"/>
      <c r="Z146" s="267"/>
      <c r="AA146" s="267"/>
      <c r="AB146" s="267"/>
      <c r="AC146" s="267"/>
      <c r="AD146" s="267"/>
      <c r="AE146" s="267"/>
      <c r="AF146" s="267"/>
      <c r="AG146" s="267"/>
      <c r="AH146" s="267"/>
      <c r="AI146" s="267"/>
      <c r="AJ146" s="267"/>
      <c r="AK146" s="267"/>
      <c r="AL146" s="267"/>
      <c r="AM146" s="282"/>
    </row>
    <row r="147" spans="2:39" ht="34.5" customHeight="1">
      <c r="B147" s="902" t="s">
        <v>211</v>
      </c>
      <c r="C147" s="904" t="s">
        <v>33</v>
      </c>
      <c r="D147" s="284" t="s">
        <v>421</v>
      </c>
      <c r="E147" s="906" t="s">
        <v>209</v>
      </c>
      <c r="F147" s="907"/>
      <c r="G147" s="907"/>
      <c r="H147" s="907"/>
      <c r="I147" s="907"/>
      <c r="J147" s="907"/>
      <c r="K147" s="907"/>
      <c r="L147" s="907"/>
      <c r="M147" s="908"/>
      <c r="N147" s="909" t="s">
        <v>213</v>
      </c>
      <c r="O147" s="284" t="s">
        <v>422</v>
      </c>
      <c r="P147" s="906" t="s">
        <v>212</v>
      </c>
      <c r="Q147" s="907"/>
      <c r="R147" s="907"/>
      <c r="S147" s="907"/>
      <c r="T147" s="907"/>
      <c r="U147" s="907"/>
      <c r="V147" s="907"/>
      <c r="W147" s="907"/>
      <c r="X147" s="908"/>
      <c r="Y147" s="899" t="s">
        <v>243</v>
      </c>
      <c r="Z147" s="900"/>
      <c r="AA147" s="900"/>
      <c r="AB147" s="900"/>
      <c r="AC147" s="900"/>
      <c r="AD147" s="900"/>
      <c r="AE147" s="900"/>
      <c r="AF147" s="900"/>
      <c r="AG147" s="900"/>
      <c r="AH147" s="900"/>
      <c r="AI147" s="900"/>
      <c r="AJ147" s="900"/>
      <c r="AK147" s="900"/>
      <c r="AL147" s="900"/>
      <c r="AM147" s="901"/>
    </row>
    <row r="148" spans="2:39" ht="60.75" customHeight="1">
      <c r="B148" s="903"/>
      <c r="C148" s="905"/>
      <c r="D148" s="285">
        <v>2012</v>
      </c>
      <c r="E148" s="285">
        <v>2013</v>
      </c>
      <c r="F148" s="285">
        <v>2014</v>
      </c>
      <c r="G148" s="285">
        <v>2015</v>
      </c>
      <c r="H148" s="285">
        <v>2016</v>
      </c>
      <c r="I148" s="285">
        <v>2017</v>
      </c>
      <c r="J148" s="285">
        <v>2018</v>
      </c>
      <c r="K148" s="285">
        <v>2019</v>
      </c>
      <c r="L148" s="285">
        <v>2020</v>
      </c>
      <c r="M148" s="285">
        <v>2021</v>
      </c>
      <c r="N148" s="91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50 - 999 kW</v>
      </c>
      <c r="AB148" s="285" t="str">
        <f>'1.  LRAMVA Summary'!G52</f>
        <v>GS 1,000 - 4,999 kW</v>
      </c>
      <c r="AC148" s="285" t="str">
        <f>'1.  LRAMVA Summary'!H52</f>
        <v>USL</v>
      </c>
      <c r="AD148" s="285" t="str">
        <f>'1.  LRAMVA Summary'!I52</f>
        <v>Sentinel Lighting</v>
      </c>
      <c r="AE148" s="285" t="str">
        <f>'1.  LRAMVA Summary'!J52</f>
        <v>Street Lighting</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4"/>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4"/>
    </row>
    <row r="150" spans="1:39" ht="15.5" outlineLevel="1">
      <c r="A150" s="503">
        <v>1</v>
      </c>
      <c r="B150" s="294" t="s">
        <v>1</v>
      </c>
      <c r="C150" s="291" t="s">
        <v>25</v>
      </c>
      <c r="D150" s="295">
        <f>'7.  Persistence Report'!AR48</f>
        <v>44552.775865090764</v>
      </c>
      <c r="E150" s="295">
        <f>'7.  Persistence Report'!AS48</f>
        <v>44552.775865090764</v>
      </c>
      <c r="F150" s="295">
        <f>'7.  Persistence Report'!AT48</f>
        <v>44552.775865090764</v>
      </c>
      <c r="G150" s="295">
        <f>'7.  Persistence Report'!AU48</f>
        <v>44552.775865090764</v>
      </c>
      <c r="H150" s="295">
        <f>'7.  Persistence Report'!AV48</f>
        <v>25633.440279257204</v>
      </c>
      <c r="I150" s="295">
        <f>'7.  Persistence Report'!AW48</f>
        <v>0</v>
      </c>
      <c r="J150" s="295">
        <f>'7.  Persistence Report'!AX48</f>
        <v>0</v>
      </c>
      <c r="K150" s="295">
        <f>'7.  Persistence Report'!AY48</f>
        <v>0</v>
      </c>
      <c r="L150" s="295">
        <f>'7.  Persistence Report'!AZ48</f>
        <v>0</v>
      </c>
      <c r="M150" s="295">
        <f>'7.  Persistence Report'!BA48</f>
        <v>0</v>
      </c>
      <c r="N150" s="750"/>
      <c r="O150" s="295">
        <f>'7.  Persistence Report'!M48</f>
        <v>5.9391255822410285</v>
      </c>
      <c r="P150" s="295">
        <f>'7.  Persistence Report'!N48</f>
        <v>5.9391255822410285</v>
      </c>
      <c r="Q150" s="295">
        <f>'7.  Persistence Report'!O48</f>
        <v>5.9391255822410285</v>
      </c>
      <c r="R150" s="295">
        <f>'7.  Persistence Report'!P48</f>
        <v>5.9391255822410285</v>
      </c>
      <c r="S150" s="295">
        <f>'7.  Persistence Report'!Q48</f>
        <v>3.3702776363714868</v>
      </c>
      <c r="T150" s="295">
        <f>'7.  Persistence Report'!R48</f>
        <v>0</v>
      </c>
      <c r="U150" s="295">
        <f>'7.  Persistence Report'!S48</f>
        <v>0</v>
      </c>
      <c r="V150" s="295">
        <f>'7.  Persistence Report'!T48</f>
        <v>0</v>
      </c>
      <c r="W150" s="295">
        <f>'7.  Persistence Report'!U48</f>
        <v>0</v>
      </c>
      <c r="X150" s="295">
        <f>'7.  Persistence Report'!V48</f>
        <v>0</v>
      </c>
      <c r="Y150" s="759">
        <v>1</v>
      </c>
      <c r="Z150" s="759"/>
      <c r="AA150" s="759"/>
      <c r="AB150" s="759"/>
      <c r="AC150" s="759"/>
      <c r="AD150" s="759"/>
      <c r="AE150" s="759"/>
      <c r="AF150" s="409"/>
      <c r="AG150" s="409"/>
      <c r="AH150" s="409"/>
      <c r="AI150" s="409"/>
      <c r="AJ150" s="409"/>
      <c r="AK150" s="409"/>
      <c r="AL150" s="409"/>
      <c r="AM150" s="296">
        <f>SUM(Y150:AL150)</f>
        <v>1</v>
      </c>
    </row>
    <row r="151" spans="2:39" ht="15.5" outlineLevel="1">
      <c r="B151" s="294" t="s">
        <v>244</v>
      </c>
      <c r="C151" s="291" t="s">
        <v>163</v>
      </c>
      <c r="D151" s="295"/>
      <c r="E151" s="295"/>
      <c r="F151" s="295"/>
      <c r="G151" s="295"/>
      <c r="H151" s="295"/>
      <c r="I151" s="295"/>
      <c r="J151" s="295"/>
      <c r="K151" s="295"/>
      <c r="L151" s="295"/>
      <c r="M151" s="295"/>
      <c r="N151" s="751"/>
      <c r="O151" s="295"/>
      <c r="P151" s="295"/>
      <c r="Q151" s="295"/>
      <c r="R151" s="295"/>
      <c r="S151" s="295"/>
      <c r="T151" s="295"/>
      <c r="U151" s="295"/>
      <c r="V151" s="295"/>
      <c r="W151" s="295"/>
      <c r="X151" s="295"/>
      <c r="Y151" s="760">
        <f>Y150</f>
        <v>1</v>
      </c>
      <c r="Z151" s="760">
        <f>Z150</f>
        <v>0</v>
      </c>
      <c r="AA151" s="760">
        <f t="shared" si="70" ref="AA151:AE151">AA150</f>
        <v>0</v>
      </c>
      <c r="AB151" s="760">
        <f t="shared" si="70"/>
        <v>0</v>
      </c>
      <c r="AC151" s="760">
        <f t="shared" si="70"/>
        <v>0</v>
      </c>
      <c r="AD151" s="760">
        <f t="shared" si="70"/>
        <v>0</v>
      </c>
      <c r="AE151" s="760">
        <f t="shared" si="70"/>
        <v>0</v>
      </c>
      <c r="AF151" s="410">
        <f t="shared" si="71" ref="AF151:AL151">AF150</f>
        <v>0</v>
      </c>
      <c r="AG151" s="410">
        <f t="shared" si="71"/>
        <v>0</v>
      </c>
      <c r="AH151" s="410">
        <f t="shared" si="71"/>
        <v>0</v>
      </c>
      <c r="AI151" s="410">
        <f t="shared" si="71"/>
        <v>0</v>
      </c>
      <c r="AJ151" s="410">
        <f t="shared" si="71"/>
        <v>0</v>
      </c>
      <c r="AK151" s="410">
        <f t="shared" si="71"/>
        <v>0</v>
      </c>
      <c r="AL151" s="410">
        <f t="shared" si="71"/>
        <v>0</v>
      </c>
      <c r="AM151" s="499"/>
    </row>
    <row r="152" spans="1:39" ht="15.5" outlineLevel="1">
      <c r="A152" s="505"/>
      <c r="B152" s="298"/>
      <c r="C152" s="299"/>
      <c r="D152" s="752"/>
      <c r="E152" s="752"/>
      <c r="F152" s="752"/>
      <c r="G152" s="752"/>
      <c r="H152" s="752"/>
      <c r="I152" s="752"/>
      <c r="J152" s="752"/>
      <c r="K152" s="752"/>
      <c r="L152" s="752"/>
      <c r="M152" s="752"/>
      <c r="N152" s="303"/>
      <c r="O152" s="752"/>
      <c r="P152" s="752"/>
      <c r="Q152" s="752"/>
      <c r="R152" s="752"/>
      <c r="S152" s="752"/>
      <c r="T152" s="752"/>
      <c r="U152" s="752"/>
      <c r="V152" s="752"/>
      <c r="W152" s="752"/>
      <c r="X152" s="752"/>
      <c r="Y152" s="761"/>
      <c r="Z152" s="762"/>
      <c r="AA152" s="762"/>
      <c r="AB152" s="762"/>
      <c r="AC152" s="762"/>
      <c r="AD152" s="762"/>
      <c r="AE152" s="762"/>
      <c r="AF152" s="412"/>
      <c r="AG152" s="412"/>
      <c r="AH152" s="412"/>
      <c r="AI152" s="412"/>
      <c r="AJ152" s="412"/>
      <c r="AK152" s="412"/>
      <c r="AL152" s="412"/>
      <c r="AM152" s="302"/>
    </row>
    <row r="153" spans="1:39" ht="15.5" outlineLevel="1">
      <c r="A153" s="503">
        <v>2</v>
      </c>
      <c r="B153" s="294" t="s">
        <v>2</v>
      </c>
      <c r="C153" s="291" t="s">
        <v>25</v>
      </c>
      <c r="D153" s="295">
        <f>'7.  Persistence Report'!AR47</f>
        <v>4503.725179691296</v>
      </c>
      <c r="E153" s="295">
        <f>'7.  Persistence Report'!AS47</f>
        <v>4503.725179691296</v>
      </c>
      <c r="F153" s="295">
        <f>'7.  Persistence Report'!AT47</f>
        <v>4503.725179691296</v>
      </c>
      <c r="G153" s="295">
        <f>'7.  Persistence Report'!AU47</f>
        <v>4493.317166044154</v>
      </c>
      <c r="H153" s="295">
        <f>'7.  Persistence Report'!AV47</f>
        <v>0</v>
      </c>
      <c r="I153" s="295">
        <f>'7.  Persistence Report'!AW47</f>
        <v>0</v>
      </c>
      <c r="J153" s="295">
        <f>'7.  Persistence Report'!AX47</f>
        <v>0</v>
      </c>
      <c r="K153" s="295">
        <f>'7.  Persistence Report'!AY47</f>
        <v>0</v>
      </c>
      <c r="L153" s="295">
        <f>'7.  Persistence Report'!AZ47</f>
        <v>0</v>
      </c>
      <c r="M153" s="295">
        <f>'7.  Persistence Report'!BA47</f>
        <v>0</v>
      </c>
      <c r="N153" s="750"/>
      <c r="O153" s="295">
        <f>'7.  Persistence Report'!M47</f>
        <v>2.5316395988564526</v>
      </c>
      <c r="P153" s="295">
        <f>'7.  Persistence Report'!N47</f>
        <v>2.5316395988564526</v>
      </c>
      <c r="Q153" s="295">
        <f>'7.  Persistence Report'!O47</f>
        <v>2.5316395988564526</v>
      </c>
      <c r="R153" s="295">
        <f>'7.  Persistence Report'!P47</f>
        <v>2.520000837659818</v>
      </c>
      <c r="S153" s="295">
        <f>'7.  Persistence Report'!Q47</f>
        <v>0</v>
      </c>
      <c r="T153" s="295">
        <f>'7.  Persistence Report'!R47</f>
        <v>0</v>
      </c>
      <c r="U153" s="295">
        <f>'7.  Persistence Report'!S47</f>
        <v>0</v>
      </c>
      <c r="V153" s="295">
        <f>'7.  Persistence Report'!T47</f>
        <v>0</v>
      </c>
      <c r="W153" s="295">
        <f>'7.  Persistence Report'!U47</f>
        <v>0</v>
      </c>
      <c r="X153" s="295">
        <f>'7.  Persistence Report'!V47</f>
        <v>0</v>
      </c>
      <c r="Y153" s="759">
        <v>1</v>
      </c>
      <c r="Z153" s="759"/>
      <c r="AA153" s="759"/>
      <c r="AB153" s="759"/>
      <c r="AC153" s="759"/>
      <c r="AD153" s="759"/>
      <c r="AE153" s="759"/>
      <c r="AF153" s="409"/>
      <c r="AG153" s="409"/>
      <c r="AH153" s="409"/>
      <c r="AI153" s="409"/>
      <c r="AJ153" s="409"/>
      <c r="AK153" s="409"/>
      <c r="AL153" s="409"/>
      <c r="AM153" s="296">
        <f>SUM(Y153:AL153)</f>
        <v>1</v>
      </c>
    </row>
    <row r="154" spans="2:39" ht="15.5" outlineLevel="1">
      <c r="B154" s="294" t="s">
        <v>244</v>
      </c>
      <c r="C154" s="291" t="s">
        <v>163</v>
      </c>
      <c r="D154" s="295"/>
      <c r="E154" s="295"/>
      <c r="F154" s="295"/>
      <c r="G154" s="295"/>
      <c r="H154" s="295"/>
      <c r="I154" s="295"/>
      <c r="J154" s="295"/>
      <c r="K154" s="295"/>
      <c r="L154" s="295"/>
      <c r="M154" s="295"/>
      <c r="N154" s="751"/>
      <c r="O154" s="295"/>
      <c r="P154" s="295"/>
      <c r="Q154" s="295"/>
      <c r="R154" s="295"/>
      <c r="S154" s="295"/>
      <c r="T154" s="295"/>
      <c r="U154" s="295"/>
      <c r="V154" s="295"/>
      <c r="W154" s="295"/>
      <c r="X154" s="295"/>
      <c r="Y154" s="760">
        <f>Y153</f>
        <v>1</v>
      </c>
      <c r="Z154" s="760">
        <f>Z153</f>
        <v>0</v>
      </c>
      <c r="AA154" s="760">
        <f t="shared" si="72" ref="AA154:AE154">AA153</f>
        <v>0</v>
      </c>
      <c r="AB154" s="760">
        <f t="shared" si="72"/>
        <v>0</v>
      </c>
      <c r="AC154" s="760">
        <f t="shared" si="72"/>
        <v>0</v>
      </c>
      <c r="AD154" s="760">
        <f t="shared" si="72"/>
        <v>0</v>
      </c>
      <c r="AE154" s="760">
        <f t="shared" si="72"/>
        <v>0</v>
      </c>
      <c r="AF154" s="410">
        <f t="shared" si="73" ref="AF154:AL154">AF153</f>
        <v>0</v>
      </c>
      <c r="AG154" s="410">
        <f t="shared" si="73"/>
        <v>0</v>
      </c>
      <c r="AH154" s="410">
        <f t="shared" si="73"/>
        <v>0</v>
      </c>
      <c r="AI154" s="410">
        <f t="shared" si="73"/>
        <v>0</v>
      </c>
      <c r="AJ154" s="410">
        <f t="shared" si="73"/>
        <v>0</v>
      </c>
      <c r="AK154" s="410">
        <f t="shared" si="73"/>
        <v>0</v>
      </c>
      <c r="AL154" s="410">
        <f t="shared" si="73"/>
        <v>0</v>
      </c>
      <c r="AM154" s="499"/>
    </row>
    <row r="155" spans="1:39" ht="15.5" outlineLevel="1">
      <c r="A155" s="505"/>
      <c r="B155" s="298"/>
      <c r="C155" s="299"/>
      <c r="D155" s="753"/>
      <c r="E155" s="753"/>
      <c r="F155" s="753"/>
      <c r="G155" s="753"/>
      <c r="H155" s="753"/>
      <c r="I155" s="753"/>
      <c r="J155" s="753"/>
      <c r="K155" s="753"/>
      <c r="L155" s="753"/>
      <c r="M155" s="753"/>
      <c r="N155" s="303"/>
      <c r="O155" s="753"/>
      <c r="P155" s="753"/>
      <c r="Q155" s="753"/>
      <c r="R155" s="753"/>
      <c r="S155" s="753"/>
      <c r="T155" s="753"/>
      <c r="U155" s="753"/>
      <c r="V155" s="753"/>
      <c r="W155" s="753"/>
      <c r="X155" s="753"/>
      <c r="Y155" s="761"/>
      <c r="Z155" s="762"/>
      <c r="AA155" s="762"/>
      <c r="AB155" s="762"/>
      <c r="AC155" s="762"/>
      <c r="AD155" s="762"/>
      <c r="AE155" s="762"/>
      <c r="AF155" s="412"/>
      <c r="AG155" s="412"/>
      <c r="AH155" s="412"/>
      <c r="AI155" s="412"/>
      <c r="AJ155" s="412"/>
      <c r="AK155" s="412"/>
      <c r="AL155" s="412"/>
      <c r="AM155" s="302"/>
    </row>
    <row r="156" spans="1:39" ht="15.5" outlineLevel="1">
      <c r="A156" s="503">
        <v>3</v>
      </c>
      <c r="B156" s="294" t="s">
        <v>3</v>
      </c>
      <c r="C156" s="291" t="s">
        <v>25</v>
      </c>
      <c r="D156" s="295">
        <f>'7.  Persistence Report'!AR51</f>
        <v>152189.65208178159</v>
      </c>
      <c r="E156" s="295">
        <f>'7.  Persistence Report'!AS51</f>
        <v>152189.65208178159</v>
      </c>
      <c r="F156" s="295">
        <f>'7.  Persistence Report'!AT51</f>
        <v>152189.65208178159</v>
      </c>
      <c r="G156" s="295">
        <f>'7.  Persistence Report'!AU51</f>
        <v>152189.65208178159</v>
      </c>
      <c r="H156" s="295">
        <f>'7.  Persistence Report'!AV51</f>
        <v>152189.65208178159</v>
      </c>
      <c r="I156" s="295">
        <f>'7.  Persistence Report'!AW51</f>
        <v>152189.65208178159</v>
      </c>
      <c r="J156" s="295">
        <f>'7.  Persistence Report'!AX51</f>
        <v>152189.65208178159</v>
      </c>
      <c r="K156" s="295">
        <f>'7.  Persistence Report'!AY51</f>
        <v>152189.65208178159</v>
      </c>
      <c r="L156" s="295">
        <f>'7.  Persistence Report'!AZ51</f>
        <v>152189.65208178159</v>
      </c>
      <c r="M156" s="295">
        <f>'7.  Persistence Report'!BA51</f>
        <v>152189.65208178159</v>
      </c>
      <c r="N156" s="750"/>
      <c r="O156" s="295">
        <f>'7.  Persistence Report'!M51</f>
        <v>90.067114387176318</v>
      </c>
      <c r="P156" s="295">
        <f>'7.  Persistence Report'!N51</f>
        <v>90.067114387176318</v>
      </c>
      <c r="Q156" s="295">
        <f>'7.  Persistence Report'!O51</f>
        <v>90.067114387176318</v>
      </c>
      <c r="R156" s="295">
        <f>'7.  Persistence Report'!P51</f>
        <v>90.067114387176318</v>
      </c>
      <c r="S156" s="295">
        <f>'7.  Persistence Report'!Q51</f>
        <v>90.067114387176318</v>
      </c>
      <c r="T156" s="295">
        <f>'7.  Persistence Report'!R51</f>
        <v>90.067114387176318</v>
      </c>
      <c r="U156" s="295">
        <f>'7.  Persistence Report'!S51</f>
        <v>90.067114387176318</v>
      </c>
      <c r="V156" s="295">
        <f>'7.  Persistence Report'!T51</f>
        <v>90.067114387176318</v>
      </c>
      <c r="W156" s="295">
        <f>'7.  Persistence Report'!U51</f>
        <v>90.067114387176318</v>
      </c>
      <c r="X156" s="295">
        <f>'7.  Persistence Report'!V51</f>
        <v>90.067114387176318</v>
      </c>
      <c r="Y156" s="759">
        <v>1</v>
      </c>
      <c r="Z156" s="759"/>
      <c r="AA156" s="759"/>
      <c r="AB156" s="759"/>
      <c r="AC156" s="759"/>
      <c r="AD156" s="759"/>
      <c r="AE156" s="759"/>
      <c r="AF156" s="409"/>
      <c r="AG156" s="409"/>
      <c r="AH156" s="409"/>
      <c r="AI156" s="409"/>
      <c r="AJ156" s="409"/>
      <c r="AK156" s="409"/>
      <c r="AL156" s="409"/>
      <c r="AM156" s="296">
        <f>SUM(Y156:AL156)</f>
        <v>1</v>
      </c>
    </row>
    <row r="157" spans="2:39" ht="15.5" outlineLevel="1">
      <c r="B157" s="294" t="s">
        <v>244</v>
      </c>
      <c r="C157" s="291" t="s">
        <v>163</v>
      </c>
      <c r="D157" s="295">
        <f>'7.  Persistence Report'!AR65+'7.  Persistence Report'!AR66+'7.  Persistence Report'!AR67</f>
        <v>6164.1692116020258</v>
      </c>
      <c r="E157" s="295">
        <f>'7.  Persistence Report'!AS65+'7.  Persistence Report'!AS66+'7.  Persistence Report'!AS67</f>
        <v>6164.1692116020258</v>
      </c>
      <c r="F157" s="295">
        <f>'7.  Persistence Report'!AT65+'7.  Persistence Report'!AT66+'7.  Persistence Report'!AT67</f>
        <v>6164.1692116020258</v>
      </c>
      <c r="G157" s="295">
        <f>'7.  Persistence Report'!AU65+'7.  Persistence Report'!AU66+'7.  Persistence Report'!AU67</f>
        <v>6164.1692116020258</v>
      </c>
      <c r="H157" s="295">
        <f>'7.  Persistence Report'!AV65+'7.  Persistence Report'!AV66+'7.  Persistence Report'!AV67</f>
        <v>6164.1692116020258</v>
      </c>
      <c r="I157" s="295">
        <f>'7.  Persistence Report'!AW65+'7.  Persistence Report'!AW66+'7.  Persistence Report'!AW67</f>
        <v>6164.1692116020258</v>
      </c>
      <c r="J157" s="295">
        <f>'7.  Persistence Report'!AX65+'7.  Persistence Report'!AX66+'7.  Persistence Report'!AX67</f>
        <v>6164.1692116020258</v>
      </c>
      <c r="K157" s="295">
        <f>'7.  Persistence Report'!AY65+'7.  Persistence Report'!AY66+'7.  Persistence Report'!AY67</f>
        <v>6164.1692116020258</v>
      </c>
      <c r="L157" s="295">
        <f>'7.  Persistence Report'!AZ65+'7.  Persistence Report'!AZ66+'7.  Persistence Report'!AZ67</f>
        <v>6164.1692116020258</v>
      </c>
      <c r="M157" s="295">
        <f>'7.  Persistence Report'!BA65+'7.  Persistence Report'!BA66+'7.  Persistence Report'!BA67</f>
        <v>6164.1692116020258</v>
      </c>
      <c r="N157" s="751"/>
      <c r="O157" s="295">
        <f>'7.  Persistence Report'!M65+'7.  Persistence Report'!M66+'7.  Persistence Report'!M67</f>
        <v>3.1807165889751667</v>
      </c>
      <c r="P157" s="295">
        <f>'7.  Persistence Report'!N65+'7.  Persistence Report'!N66+'7.  Persistence Report'!N67</f>
        <v>3.1807165889751667</v>
      </c>
      <c r="Q157" s="295">
        <f>'7.  Persistence Report'!O65+'7.  Persistence Report'!O66+'7.  Persistence Report'!O67</f>
        <v>3.1807165889751667</v>
      </c>
      <c r="R157" s="295">
        <f>'7.  Persistence Report'!P65+'7.  Persistence Report'!P66+'7.  Persistence Report'!P67</f>
        <v>3.1807165889751667</v>
      </c>
      <c r="S157" s="295">
        <f>'7.  Persistence Report'!Q65+'7.  Persistence Report'!Q66+'7.  Persistence Report'!Q67</f>
        <v>3.1807165889751667</v>
      </c>
      <c r="T157" s="295">
        <f>'7.  Persistence Report'!R65+'7.  Persistence Report'!R66+'7.  Persistence Report'!R67</f>
        <v>3.1807165889751667</v>
      </c>
      <c r="U157" s="295">
        <f>'7.  Persistence Report'!S65+'7.  Persistence Report'!S66+'7.  Persistence Report'!S67</f>
        <v>3.1807165889751667</v>
      </c>
      <c r="V157" s="295">
        <f>'7.  Persistence Report'!T65+'7.  Persistence Report'!T66+'7.  Persistence Report'!T67</f>
        <v>3.1807165889751667</v>
      </c>
      <c r="W157" s="295">
        <f>'7.  Persistence Report'!U65+'7.  Persistence Report'!U66+'7.  Persistence Report'!U67</f>
        <v>3.1807165889751667</v>
      </c>
      <c r="X157" s="295">
        <f>'7.  Persistence Report'!V65+'7.  Persistence Report'!V66+'7.  Persistence Report'!V67</f>
        <v>3.1807165889751667</v>
      </c>
      <c r="Y157" s="760">
        <f>Y156</f>
        <v>1</v>
      </c>
      <c r="Z157" s="760">
        <f>Z156</f>
        <v>0</v>
      </c>
      <c r="AA157" s="760">
        <f t="shared" si="74" ref="AA157:AE157">AA156</f>
        <v>0</v>
      </c>
      <c r="AB157" s="760">
        <f t="shared" si="74"/>
        <v>0</v>
      </c>
      <c r="AC157" s="760">
        <f t="shared" si="74"/>
        <v>0</v>
      </c>
      <c r="AD157" s="760">
        <f t="shared" si="74"/>
        <v>0</v>
      </c>
      <c r="AE157" s="760">
        <f t="shared" si="74"/>
        <v>0</v>
      </c>
      <c r="AF157" s="410">
        <f t="shared" si="75" ref="AF157:AL157">AF156</f>
        <v>0</v>
      </c>
      <c r="AG157" s="410">
        <f t="shared" si="75"/>
        <v>0</v>
      </c>
      <c r="AH157" s="410">
        <f t="shared" si="75"/>
        <v>0</v>
      </c>
      <c r="AI157" s="410">
        <f t="shared" si="75"/>
        <v>0</v>
      </c>
      <c r="AJ157" s="410">
        <f t="shared" si="75"/>
        <v>0</v>
      </c>
      <c r="AK157" s="410">
        <f t="shared" si="75"/>
        <v>0</v>
      </c>
      <c r="AL157" s="410">
        <f t="shared" si="75"/>
        <v>0</v>
      </c>
      <c r="AM157" s="499"/>
    </row>
    <row r="158" spans="2:39" ht="15.5" outlineLevel="1">
      <c r="B158" s="294"/>
      <c r="C158" s="305"/>
      <c r="D158" s="750"/>
      <c r="E158" s="750"/>
      <c r="F158" s="750"/>
      <c r="G158" s="750"/>
      <c r="H158" s="750"/>
      <c r="I158" s="750"/>
      <c r="J158" s="750"/>
      <c r="K158" s="750"/>
      <c r="L158" s="750"/>
      <c r="M158" s="750"/>
      <c r="N158" s="283"/>
      <c r="O158" s="750"/>
      <c r="P158" s="750"/>
      <c r="Q158" s="750"/>
      <c r="R158" s="750"/>
      <c r="S158" s="750"/>
      <c r="T158" s="750"/>
      <c r="U158" s="750"/>
      <c r="V158" s="750"/>
      <c r="W158" s="750"/>
      <c r="X158" s="750"/>
      <c r="Y158" s="761"/>
      <c r="Z158" s="761"/>
      <c r="AA158" s="761"/>
      <c r="AB158" s="761"/>
      <c r="AC158" s="761"/>
      <c r="AD158" s="761"/>
      <c r="AE158" s="761"/>
      <c r="AF158" s="411"/>
      <c r="AG158" s="411"/>
      <c r="AH158" s="411"/>
      <c r="AI158" s="411"/>
      <c r="AJ158" s="411"/>
      <c r="AK158" s="411"/>
      <c r="AL158" s="411"/>
      <c r="AM158" s="306"/>
    </row>
    <row r="159" spans="1:39" ht="15.5" outlineLevel="1">
      <c r="A159" s="503">
        <v>4</v>
      </c>
      <c r="B159" s="294" t="s">
        <v>4</v>
      </c>
      <c r="C159" s="291" t="s">
        <v>25</v>
      </c>
      <c r="D159" s="295">
        <f>'7.  Persistence Report'!AR50</f>
        <v>7654.805446726109</v>
      </c>
      <c r="E159" s="295">
        <f>'7.  Persistence Report'!AS50</f>
        <v>7654.805446726109</v>
      </c>
      <c r="F159" s="295">
        <f>'7.  Persistence Report'!AT50</f>
        <v>7654.805446726109</v>
      </c>
      <c r="G159" s="295">
        <f>'7.  Persistence Report'!AU50</f>
        <v>7654.805446726109</v>
      </c>
      <c r="H159" s="295">
        <f>'7.  Persistence Report'!AV50</f>
        <v>7539.8035580049018</v>
      </c>
      <c r="I159" s="295">
        <f>'7.  Persistence Report'!AW50</f>
        <v>7539.8035580049018</v>
      </c>
      <c r="J159" s="295">
        <f>'7.  Persistence Report'!AX50</f>
        <v>3550.4678645175309</v>
      </c>
      <c r="K159" s="295">
        <f>'7.  Persistence Report'!AY50</f>
        <v>3530.8727247442662</v>
      </c>
      <c r="L159" s="295">
        <f>'7.  Persistence Report'!AZ50</f>
        <v>3530.8727247442662</v>
      </c>
      <c r="M159" s="295">
        <f>'7.  Persistence Report'!BA50</f>
        <v>3530.8727247442662</v>
      </c>
      <c r="N159" s="750"/>
      <c r="O159" s="295">
        <f>'7.  Persistence Report'!M50</f>
        <v>1.2614675933139985</v>
      </c>
      <c r="P159" s="295">
        <f>'7.  Persistence Report'!N50</f>
        <v>1.2614675933139985</v>
      </c>
      <c r="Q159" s="295">
        <f>'7.  Persistence Report'!O50</f>
        <v>1.2614675933139985</v>
      </c>
      <c r="R159" s="295">
        <f>'7.  Persistence Report'!P50</f>
        <v>1.2614675933139985</v>
      </c>
      <c r="S159" s="295">
        <f>'7.  Persistence Report'!Q50</f>
        <v>1.2561426665987912</v>
      </c>
      <c r="T159" s="295">
        <f>'7.  Persistence Report'!R50</f>
        <v>1.2561426665987912</v>
      </c>
      <c r="U159" s="295">
        <f>'7.  Persistence Report'!S50</f>
        <v>1.0714246550391899</v>
      </c>
      <c r="V159" s="295">
        <f>'7.  Persistence Report'!T50</f>
        <v>1.0691877669372192</v>
      </c>
      <c r="W159" s="295">
        <f>'7.  Persistence Report'!U50</f>
        <v>1.0691877669372192</v>
      </c>
      <c r="X159" s="295">
        <f>'7.  Persistence Report'!V50</f>
        <v>1.0691877669372192</v>
      </c>
      <c r="Y159" s="759">
        <v>1</v>
      </c>
      <c r="Z159" s="759"/>
      <c r="AA159" s="759"/>
      <c r="AB159" s="759"/>
      <c r="AC159" s="759"/>
      <c r="AD159" s="759"/>
      <c r="AE159" s="759"/>
      <c r="AF159" s="409"/>
      <c r="AG159" s="409"/>
      <c r="AH159" s="409"/>
      <c r="AI159" s="409"/>
      <c r="AJ159" s="409"/>
      <c r="AK159" s="409"/>
      <c r="AL159" s="409"/>
      <c r="AM159" s="296">
        <f>SUM(Y159:AL159)</f>
        <v>1</v>
      </c>
    </row>
    <row r="160" spans="2:39" ht="15.5" outlineLevel="1">
      <c r="B160" s="294" t="s">
        <v>244</v>
      </c>
      <c r="C160" s="291" t="s">
        <v>163</v>
      </c>
      <c r="D160" s="295"/>
      <c r="E160" s="295"/>
      <c r="F160" s="295"/>
      <c r="G160" s="295"/>
      <c r="H160" s="295"/>
      <c r="I160" s="295"/>
      <c r="J160" s="295"/>
      <c r="K160" s="295"/>
      <c r="L160" s="295"/>
      <c r="M160" s="295"/>
      <c r="N160" s="751"/>
      <c r="O160" s="295"/>
      <c r="P160" s="295"/>
      <c r="Q160" s="295"/>
      <c r="R160" s="295"/>
      <c r="S160" s="295"/>
      <c r="T160" s="295"/>
      <c r="U160" s="295"/>
      <c r="V160" s="295"/>
      <c r="W160" s="295"/>
      <c r="X160" s="295"/>
      <c r="Y160" s="760">
        <f>Y159</f>
        <v>1</v>
      </c>
      <c r="Z160" s="760">
        <f>Z159</f>
        <v>0</v>
      </c>
      <c r="AA160" s="760">
        <f t="shared" si="76" ref="AA160:AE160">AA159</f>
        <v>0</v>
      </c>
      <c r="AB160" s="760">
        <f t="shared" si="76"/>
        <v>0</v>
      </c>
      <c r="AC160" s="760">
        <f t="shared" si="76"/>
        <v>0</v>
      </c>
      <c r="AD160" s="760">
        <f t="shared" si="76"/>
        <v>0</v>
      </c>
      <c r="AE160" s="760">
        <f t="shared" si="76"/>
        <v>0</v>
      </c>
      <c r="AF160" s="410">
        <f t="shared" si="77" ref="AF160:AL160">AF159</f>
        <v>0</v>
      </c>
      <c r="AG160" s="410">
        <f t="shared" si="77"/>
        <v>0</v>
      </c>
      <c r="AH160" s="410">
        <f t="shared" si="77"/>
        <v>0</v>
      </c>
      <c r="AI160" s="410">
        <f t="shared" si="77"/>
        <v>0</v>
      </c>
      <c r="AJ160" s="410">
        <f t="shared" si="77"/>
        <v>0</v>
      </c>
      <c r="AK160" s="410">
        <f t="shared" si="77"/>
        <v>0</v>
      </c>
      <c r="AL160" s="410">
        <f t="shared" si="77"/>
        <v>0</v>
      </c>
      <c r="AM160" s="499"/>
    </row>
    <row r="161" spans="2:39" ht="15.5" outlineLevel="1">
      <c r="B161" s="294"/>
      <c r="C161" s="305"/>
      <c r="D161" s="753"/>
      <c r="E161" s="753"/>
      <c r="F161" s="753"/>
      <c r="G161" s="753"/>
      <c r="H161" s="753"/>
      <c r="I161" s="753"/>
      <c r="J161" s="753"/>
      <c r="K161" s="753"/>
      <c r="L161" s="753"/>
      <c r="M161" s="753"/>
      <c r="N161" s="750"/>
      <c r="O161" s="753"/>
      <c r="P161" s="753"/>
      <c r="Q161" s="753"/>
      <c r="R161" s="753"/>
      <c r="S161" s="753"/>
      <c r="T161" s="753"/>
      <c r="U161" s="753"/>
      <c r="V161" s="753"/>
      <c r="W161" s="753"/>
      <c r="X161" s="753"/>
      <c r="Y161" s="761"/>
      <c r="Z161" s="761"/>
      <c r="AA161" s="761"/>
      <c r="AB161" s="761"/>
      <c r="AC161" s="761"/>
      <c r="AD161" s="761"/>
      <c r="AE161" s="761"/>
      <c r="AF161" s="411"/>
      <c r="AG161" s="411"/>
      <c r="AH161" s="411"/>
      <c r="AI161" s="411"/>
      <c r="AJ161" s="411"/>
      <c r="AK161" s="411"/>
      <c r="AL161" s="411"/>
      <c r="AM161" s="306"/>
    </row>
    <row r="162" spans="1:39" ht="15.5" outlineLevel="1">
      <c r="A162" s="503">
        <v>5</v>
      </c>
      <c r="B162" s="294" t="s">
        <v>5</v>
      </c>
      <c r="C162" s="291" t="s">
        <v>25</v>
      </c>
      <c r="D162" s="295">
        <f>'7.  Persistence Report'!AR49</f>
        <v>146622.96829601386</v>
      </c>
      <c r="E162" s="295">
        <f>'7.  Persistence Report'!AS49</f>
        <v>146622.96829601386</v>
      </c>
      <c r="F162" s="295">
        <f>'7.  Persistence Report'!AT49</f>
        <v>146622.96829601386</v>
      </c>
      <c r="G162" s="295">
        <f>'7.  Persistence Report'!AU49</f>
        <v>146622.96829601386</v>
      </c>
      <c r="H162" s="295">
        <f>'7.  Persistence Report'!AV49</f>
        <v>131804.72099682936</v>
      </c>
      <c r="I162" s="295">
        <f>'7.  Persistence Report'!AW49</f>
        <v>107176.06438703198</v>
      </c>
      <c r="J162" s="295">
        <f>'7.  Persistence Report'!AX49</f>
        <v>73105.068263053094</v>
      </c>
      <c r="K162" s="295">
        <f>'7.  Persistence Report'!AY49</f>
        <v>72953.105954607381</v>
      </c>
      <c r="L162" s="295">
        <f>'7.  Persistence Report'!AZ49</f>
        <v>72953.105954607381</v>
      </c>
      <c r="M162" s="295">
        <f>'7.  Persistence Report'!BA49</f>
        <v>37054.626317693874</v>
      </c>
      <c r="N162" s="750"/>
      <c r="O162" s="295">
        <f>'7.  Persistence Report'!M49</f>
        <v>8.1025388189143026</v>
      </c>
      <c r="P162" s="295">
        <f>'7.  Persistence Report'!N49</f>
        <v>8.1025388189143026</v>
      </c>
      <c r="Q162" s="295">
        <f>'7.  Persistence Report'!O49</f>
        <v>8.1025388189143026</v>
      </c>
      <c r="R162" s="295">
        <f>'7.  Persistence Report'!P49</f>
        <v>8.1025388189143026</v>
      </c>
      <c r="S162" s="295">
        <f>'7.  Persistence Report'!Q49</f>
        <v>7.4164102536064744</v>
      </c>
      <c r="T162" s="295">
        <f>'7.  Persistence Report'!R49</f>
        <v>6.276030795499481</v>
      </c>
      <c r="U162" s="295">
        <f>'7.  Persistence Report'!S49</f>
        <v>4.6984431620118992</v>
      </c>
      <c r="V162" s="295">
        <f>'7.  Persistence Report'!T49</f>
        <v>4.6810958665272269</v>
      </c>
      <c r="W162" s="295">
        <f>'7.  Persistence Report'!U49</f>
        <v>4.6810958665272269</v>
      </c>
      <c r="X162" s="295">
        <f>'7.  Persistence Report'!V49</f>
        <v>3.0188903551262105</v>
      </c>
      <c r="Y162" s="759">
        <v>1</v>
      </c>
      <c r="Z162" s="759"/>
      <c r="AA162" s="759"/>
      <c r="AB162" s="759"/>
      <c r="AC162" s="759"/>
      <c r="AD162" s="759"/>
      <c r="AE162" s="759"/>
      <c r="AF162" s="409"/>
      <c r="AG162" s="409"/>
      <c r="AH162" s="409"/>
      <c r="AI162" s="409"/>
      <c r="AJ162" s="409"/>
      <c r="AK162" s="409"/>
      <c r="AL162" s="409"/>
      <c r="AM162" s="296">
        <f>SUM(Y162:AL162)</f>
        <v>1</v>
      </c>
    </row>
    <row r="163" spans="2:39" ht="15.5" outlineLevel="1">
      <c r="B163" s="294" t="s">
        <v>244</v>
      </c>
      <c r="C163" s="291" t="s">
        <v>163</v>
      </c>
      <c r="D163" s="295"/>
      <c r="E163" s="295"/>
      <c r="F163" s="295"/>
      <c r="G163" s="295"/>
      <c r="H163" s="295"/>
      <c r="I163" s="295"/>
      <c r="J163" s="295"/>
      <c r="K163" s="295"/>
      <c r="L163" s="295"/>
      <c r="M163" s="295"/>
      <c r="N163" s="751"/>
      <c r="O163" s="295"/>
      <c r="P163" s="295"/>
      <c r="Q163" s="295"/>
      <c r="R163" s="295"/>
      <c r="S163" s="295"/>
      <c r="T163" s="295"/>
      <c r="U163" s="295"/>
      <c r="V163" s="295"/>
      <c r="W163" s="295"/>
      <c r="X163" s="295"/>
      <c r="Y163" s="760">
        <f>Y162</f>
        <v>1</v>
      </c>
      <c r="Z163" s="760">
        <f>Z162</f>
        <v>0</v>
      </c>
      <c r="AA163" s="760">
        <f t="shared" si="78" ref="AA163:AE163">AA162</f>
        <v>0</v>
      </c>
      <c r="AB163" s="760">
        <f t="shared" si="78"/>
        <v>0</v>
      </c>
      <c r="AC163" s="760">
        <f t="shared" si="78"/>
        <v>0</v>
      </c>
      <c r="AD163" s="760">
        <f t="shared" si="78"/>
        <v>0</v>
      </c>
      <c r="AE163" s="760">
        <f t="shared" si="78"/>
        <v>0</v>
      </c>
      <c r="AF163" s="410">
        <f t="shared" si="79" ref="AF163:AL163">AF162</f>
        <v>0</v>
      </c>
      <c r="AG163" s="410">
        <f t="shared" si="79"/>
        <v>0</v>
      </c>
      <c r="AH163" s="410">
        <f t="shared" si="79"/>
        <v>0</v>
      </c>
      <c r="AI163" s="410">
        <f t="shared" si="79"/>
        <v>0</v>
      </c>
      <c r="AJ163" s="410">
        <f t="shared" si="79"/>
        <v>0</v>
      </c>
      <c r="AK163" s="410">
        <f t="shared" si="79"/>
        <v>0</v>
      </c>
      <c r="AL163" s="410">
        <f t="shared" si="79"/>
        <v>0</v>
      </c>
      <c r="AM163" s="499"/>
    </row>
    <row r="164" spans="2:39" ht="15.5" outlineLevel="1">
      <c r="B164" s="294"/>
      <c r="C164" s="305"/>
      <c r="D164" s="753"/>
      <c r="E164" s="753"/>
      <c r="F164" s="753"/>
      <c r="G164" s="753"/>
      <c r="H164" s="753"/>
      <c r="I164" s="753"/>
      <c r="J164" s="753"/>
      <c r="K164" s="753"/>
      <c r="L164" s="753"/>
      <c r="M164" s="753"/>
      <c r="N164" s="750"/>
      <c r="O164" s="753"/>
      <c r="P164" s="753"/>
      <c r="Q164" s="753"/>
      <c r="R164" s="753"/>
      <c r="S164" s="753"/>
      <c r="T164" s="753"/>
      <c r="U164" s="753"/>
      <c r="V164" s="753"/>
      <c r="W164" s="753"/>
      <c r="X164" s="753"/>
      <c r="Y164" s="761"/>
      <c r="Z164" s="761"/>
      <c r="AA164" s="761"/>
      <c r="AB164" s="761"/>
      <c r="AC164" s="761"/>
      <c r="AD164" s="761"/>
      <c r="AE164" s="761"/>
      <c r="AF164" s="411"/>
      <c r="AG164" s="411"/>
      <c r="AH164" s="411"/>
      <c r="AI164" s="411"/>
      <c r="AJ164" s="411"/>
      <c r="AK164" s="411"/>
      <c r="AL164" s="411"/>
      <c r="AM164" s="306"/>
    </row>
    <row r="165" spans="1:39" ht="15.5" outlineLevel="1">
      <c r="A165" s="503">
        <v>6</v>
      </c>
      <c r="B165" s="294" t="s">
        <v>6</v>
      </c>
      <c r="C165" s="291" t="s">
        <v>25</v>
      </c>
      <c r="D165" s="295"/>
      <c r="E165" s="295"/>
      <c r="F165" s="295"/>
      <c r="G165" s="295"/>
      <c r="H165" s="295"/>
      <c r="I165" s="295"/>
      <c r="J165" s="295"/>
      <c r="K165" s="295"/>
      <c r="L165" s="295"/>
      <c r="M165" s="295"/>
      <c r="N165" s="750"/>
      <c r="O165" s="295"/>
      <c r="P165" s="295"/>
      <c r="Q165" s="295"/>
      <c r="R165" s="295"/>
      <c r="S165" s="295"/>
      <c r="T165" s="295"/>
      <c r="U165" s="295"/>
      <c r="V165" s="295"/>
      <c r="W165" s="295"/>
      <c r="X165" s="295"/>
      <c r="Y165" s="759"/>
      <c r="Z165" s="759"/>
      <c r="AA165" s="759"/>
      <c r="AB165" s="759"/>
      <c r="AC165" s="759"/>
      <c r="AD165" s="759"/>
      <c r="AE165" s="759"/>
      <c r="AF165" s="409"/>
      <c r="AG165" s="409"/>
      <c r="AH165" s="409"/>
      <c r="AI165" s="409"/>
      <c r="AJ165" s="409"/>
      <c r="AK165" s="409"/>
      <c r="AL165" s="409"/>
      <c r="AM165" s="296">
        <f>SUM(Y165:AL165)</f>
        <v>0</v>
      </c>
    </row>
    <row r="166" spans="2:39" ht="15.5" outlineLevel="1">
      <c r="B166" s="294" t="s">
        <v>244</v>
      </c>
      <c r="C166" s="291" t="s">
        <v>163</v>
      </c>
      <c r="D166" s="295"/>
      <c r="E166" s="295"/>
      <c r="F166" s="295"/>
      <c r="G166" s="295"/>
      <c r="H166" s="295"/>
      <c r="I166" s="295"/>
      <c r="J166" s="295"/>
      <c r="K166" s="295"/>
      <c r="L166" s="295"/>
      <c r="M166" s="295"/>
      <c r="N166" s="751"/>
      <c r="O166" s="295"/>
      <c r="P166" s="295"/>
      <c r="Q166" s="295"/>
      <c r="R166" s="295"/>
      <c r="S166" s="295"/>
      <c r="T166" s="295"/>
      <c r="U166" s="295"/>
      <c r="V166" s="295"/>
      <c r="W166" s="295"/>
      <c r="X166" s="295"/>
      <c r="Y166" s="760">
        <f>Y165</f>
        <v>0</v>
      </c>
      <c r="Z166" s="760">
        <f>Z165</f>
        <v>0</v>
      </c>
      <c r="AA166" s="760">
        <f t="shared" si="80" ref="AA166:AE166">AA165</f>
        <v>0</v>
      </c>
      <c r="AB166" s="760">
        <f t="shared" si="80"/>
        <v>0</v>
      </c>
      <c r="AC166" s="760">
        <f t="shared" si="80"/>
        <v>0</v>
      </c>
      <c r="AD166" s="760">
        <f t="shared" si="80"/>
        <v>0</v>
      </c>
      <c r="AE166" s="760">
        <f t="shared" si="80"/>
        <v>0</v>
      </c>
      <c r="AF166" s="410">
        <f t="shared" si="81" ref="AF166:AL166">AF165</f>
        <v>0</v>
      </c>
      <c r="AG166" s="410">
        <f t="shared" si="81"/>
        <v>0</v>
      </c>
      <c r="AH166" s="410">
        <f t="shared" si="81"/>
        <v>0</v>
      </c>
      <c r="AI166" s="410">
        <f t="shared" si="81"/>
        <v>0</v>
      </c>
      <c r="AJ166" s="410">
        <f t="shared" si="81"/>
        <v>0</v>
      </c>
      <c r="AK166" s="410">
        <f t="shared" si="81"/>
        <v>0</v>
      </c>
      <c r="AL166" s="410">
        <f t="shared" si="81"/>
        <v>0</v>
      </c>
      <c r="AM166" s="499"/>
    </row>
    <row r="167" spans="2:39" ht="15.5" outlineLevel="1">
      <c r="B167" s="294"/>
      <c r="C167" s="305"/>
      <c r="D167" s="753"/>
      <c r="E167" s="753"/>
      <c r="F167" s="753"/>
      <c r="G167" s="753"/>
      <c r="H167" s="753"/>
      <c r="I167" s="753"/>
      <c r="J167" s="753"/>
      <c r="K167" s="753"/>
      <c r="L167" s="753"/>
      <c r="M167" s="753"/>
      <c r="N167" s="750"/>
      <c r="O167" s="753"/>
      <c r="P167" s="753"/>
      <c r="Q167" s="753"/>
      <c r="R167" s="753"/>
      <c r="S167" s="753"/>
      <c r="T167" s="753"/>
      <c r="U167" s="753"/>
      <c r="V167" s="753"/>
      <c r="W167" s="753"/>
      <c r="X167" s="753"/>
      <c r="Y167" s="761"/>
      <c r="Z167" s="761"/>
      <c r="AA167" s="761"/>
      <c r="AB167" s="761"/>
      <c r="AC167" s="761"/>
      <c r="AD167" s="761"/>
      <c r="AE167" s="761"/>
      <c r="AF167" s="411"/>
      <c r="AG167" s="411"/>
      <c r="AH167" s="411"/>
      <c r="AI167" s="411"/>
      <c r="AJ167" s="411"/>
      <c r="AK167" s="411"/>
      <c r="AL167" s="411"/>
      <c r="AM167" s="306"/>
    </row>
    <row r="168" spans="1:39" ht="15.5" outlineLevel="1">
      <c r="A168" s="503">
        <v>7</v>
      </c>
      <c r="B168" s="294" t="s">
        <v>42</v>
      </c>
      <c r="C168" s="291" t="s">
        <v>25</v>
      </c>
      <c r="D168" s="295"/>
      <c r="E168" s="295"/>
      <c r="F168" s="295"/>
      <c r="G168" s="295"/>
      <c r="H168" s="295"/>
      <c r="I168" s="295"/>
      <c r="J168" s="295"/>
      <c r="K168" s="295"/>
      <c r="L168" s="295"/>
      <c r="M168" s="295"/>
      <c r="N168" s="750"/>
      <c r="O168" s="295"/>
      <c r="P168" s="295"/>
      <c r="Q168" s="295"/>
      <c r="R168" s="295"/>
      <c r="S168" s="295"/>
      <c r="T168" s="295"/>
      <c r="U168" s="295"/>
      <c r="V168" s="295"/>
      <c r="W168" s="295"/>
      <c r="X168" s="295"/>
      <c r="Y168" s="759"/>
      <c r="Z168" s="759"/>
      <c r="AA168" s="759"/>
      <c r="AB168" s="759"/>
      <c r="AC168" s="759"/>
      <c r="AD168" s="759"/>
      <c r="AE168" s="759"/>
      <c r="AF168" s="409"/>
      <c r="AG168" s="409"/>
      <c r="AH168" s="409"/>
      <c r="AI168" s="409"/>
      <c r="AJ168" s="409"/>
      <c r="AK168" s="409"/>
      <c r="AL168" s="409"/>
      <c r="AM168" s="296">
        <f>SUM(Y168:AL168)</f>
        <v>0</v>
      </c>
    </row>
    <row r="169" spans="2:39" ht="15.5" outlineLevel="1">
      <c r="B169" s="294" t="s">
        <v>244</v>
      </c>
      <c r="C169" s="291" t="s">
        <v>163</v>
      </c>
      <c r="D169" s="295"/>
      <c r="E169" s="295"/>
      <c r="F169" s="295"/>
      <c r="G169" s="295"/>
      <c r="H169" s="295"/>
      <c r="I169" s="295"/>
      <c r="J169" s="295"/>
      <c r="K169" s="295"/>
      <c r="L169" s="295"/>
      <c r="M169" s="295"/>
      <c r="N169" s="750"/>
      <c r="O169" s="295"/>
      <c r="P169" s="295"/>
      <c r="Q169" s="295"/>
      <c r="R169" s="295"/>
      <c r="S169" s="295"/>
      <c r="T169" s="295"/>
      <c r="U169" s="295"/>
      <c r="V169" s="295"/>
      <c r="W169" s="295"/>
      <c r="X169" s="295"/>
      <c r="Y169" s="760">
        <f>Y168</f>
        <v>0</v>
      </c>
      <c r="Z169" s="760">
        <f>Z168</f>
        <v>0</v>
      </c>
      <c r="AA169" s="760">
        <f t="shared" si="82" ref="AA169:AE169">AA168</f>
        <v>0</v>
      </c>
      <c r="AB169" s="760">
        <f t="shared" si="82"/>
        <v>0</v>
      </c>
      <c r="AC169" s="760">
        <f t="shared" si="82"/>
        <v>0</v>
      </c>
      <c r="AD169" s="760">
        <f t="shared" si="82"/>
        <v>0</v>
      </c>
      <c r="AE169" s="760">
        <f t="shared" si="82"/>
        <v>0</v>
      </c>
      <c r="AF169" s="410">
        <f t="shared" si="83" ref="AF169:AL169">AF168</f>
        <v>0</v>
      </c>
      <c r="AG169" s="410">
        <f t="shared" si="83"/>
        <v>0</v>
      </c>
      <c r="AH169" s="410">
        <f t="shared" si="83"/>
        <v>0</v>
      </c>
      <c r="AI169" s="410">
        <f t="shared" si="83"/>
        <v>0</v>
      </c>
      <c r="AJ169" s="410">
        <f t="shared" si="83"/>
        <v>0</v>
      </c>
      <c r="AK169" s="410">
        <f t="shared" si="83"/>
        <v>0</v>
      </c>
      <c r="AL169" s="410">
        <f t="shared" si="83"/>
        <v>0</v>
      </c>
      <c r="AM169" s="499"/>
    </row>
    <row r="170" spans="2:39" ht="15.5" outlineLevel="1">
      <c r="B170" s="294"/>
      <c r="C170" s="305"/>
      <c r="D170" s="753"/>
      <c r="E170" s="753"/>
      <c r="F170" s="753"/>
      <c r="G170" s="753"/>
      <c r="H170" s="753"/>
      <c r="I170" s="753"/>
      <c r="J170" s="753"/>
      <c r="K170" s="753"/>
      <c r="L170" s="753"/>
      <c r="M170" s="753"/>
      <c r="N170" s="750"/>
      <c r="O170" s="753"/>
      <c r="P170" s="753"/>
      <c r="Q170" s="753"/>
      <c r="R170" s="753"/>
      <c r="S170" s="753"/>
      <c r="T170" s="753"/>
      <c r="U170" s="753"/>
      <c r="V170" s="753"/>
      <c r="W170" s="753"/>
      <c r="X170" s="753"/>
      <c r="Y170" s="761"/>
      <c r="Z170" s="761"/>
      <c r="AA170" s="761"/>
      <c r="AB170" s="761"/>
      <c r="AC170" s="761"/>
      <c r="AD170" s="761"/>
      <c r="AE170" s="761"/>
      <c r="AF170" s="411"/>
      <c r="AG170" s="411"/>
      <c r="AH170" s="411"/>
      <c r="AI170" s="411"/>
      <c r="AJ170" s="411"/>
      <c r="AK170" s="411"/>
      <c r="AL170" s="411"/>
      <c r="AM170" s="306"/>
    </row>
    <row r="171" spans="1:39" s="283" customFormat="1" ht="15.5" outlineLevel="1">
      <c r="A171" s="503">
        <v>8</v>
      </c>
      <c r="B171" s="294" t="s">
        <v>484</v>
      </c>
      <c r="C171" s="291" t="s">
        <v>25</v>
      </c>
      <c r="D171" s="295"/>
      <c r="E171" s="295"/>
      <c r="F171" s="295"/>
      <c r="G171" s="295"/>
      <c r="H171" s="295"/>
      <c r="I171" s="295"/>
      <c r="J171" s="295"/>
      <c r="K171" s="295"/>
      <c r="L171" s="295"/>
      <c r="M171" s="295"/>
      <c r="N171" s="750"/>
      <c r="O171" s="295"/>
      <c r="P171" s="295"/>
      <c r="Q171" s="295"/>
      <c r="R171" s="295"/>
      <c r="S171" s="295"/>
      <c r="T171" s="295"/>
      <c r="U171" s="295"/>
      <c r="V171" s="295"/>
      <c r="W171" s="295"/>
      <c r="X171" s="295"/>
      <c r="Y171" s="759"/>
      <c r="Z171" s="759"/>
      <c r="AA171" s="759"/>
      <c r="AB171" s="759"/>
      <c r="AC171" s="759"/>
      <c r="AD171" s="759"/>
      <c r="AE171" s="759"/>
      <c r="AF171" s="409"/>
      <c r="AG171" s="409"/>
      <c r="AH171" s="409"/>
      <c r="AI171" s="409"/>
      <c r="AJ171" s="409"/>
      <c r="AK171" s="409"/>
      <c r="AL171" s="409"/>
      <c r="AM171" s="296">
        <f>SUM(Y171:AL171)</f>
        <v>0</v>
      </c>
    </row>
    <row r="172" spans="1:39" s="283" customFormat="1" ht="15.5" outlineLevel="1">
      <c r="A172" s="503"/>
      <c r="B172" s="294" t="s">
        <v>244</v>
      </c>
      <c r="C172" s="291" t="s">
        <v>163</v>
      </c>
      <c r="D172" s="295"/>
      <c r="E172" s="295"/>
      <c r="F172" s="295"/>
      <c r="G172" s="295"/>
      <c r="H172" s="295"/>
      <c r="I172" s="295"/>
      <c r="J172" s="295"/>
      <c r="K172" s="295"/>
      <c r="L172" s="295"/>
      <c r="M172" s="295"/>
      <c r="N172" s="750"/>
      <c r="O172" s="295"/>
      <c r="P172" s="295"/>
      <c r="Q172" s="295"/>
      <c r="R172" s="295"/>
      <c r="S172" s="295"/>
      <c r="T172" s="295"/>
      <c r="U172" s="295"/>
      <c r="V172" s="295"/>
      <c r="W172" s="295"/>
      <c r="X172" s="295"/>
      <c r="Y172" s="760">
        <f>Y171</f>
        <v>0</v>
      </c>
      <c r="Z172" s="760">
        <f>Z171</f>
        <v>0</v>
      </c>
      <c r="AA172" s="760">
        <f t="shared" si="84" ref="AA172:AE172">AA171</f>
        <v>0</v>
      </c>
      <c r="AB172" s="760">
        <f t="shared" si="84"/>
        <v>0</v>
      </c>
      <c r="AC172" s="760">
        <f t="shared" si="84"/>
        <v>0</v>
      </c>
      <c r="AD172" s="760">
        <f t="shared" si="84"/>
        <v>0</v>
      </c>
      <c r="AE172" s="760">
        <f t="shared" si="84"/>
        <v>0</v>
      </c>
      <c r="AF172" s="410">
        <f t="shared" si="85" ref="AF172:AL172">AF171</f>
        <v>0</v>
      </c>
      <c r="AG172" s="410">
        <f t="shared" si="85"/>
        <v>0</v>
      </c>
      <c r="AH172" s="410">
        <f t="shared" si="85"/>
        <v>0</v>
      </c>
      <c r="AI172" s="410">
        <f t="shared" si="85"/>
        <v>0</v>
      </c>
      <c r="AJ172" s="410">
        <f t="shared" si="85"/>
        <v>0</v>
      </c>
      <c r="AK172" s="410">
        <f t="shared" si="85"/>
        <v>0</v>
      </c>
      <c r="AL172" s="410">
        <f t="shared" si="85"/>
        <v>0</v>
      </c>
      <c r="AM172" s="499"/>
    </row>
    <row r="173" spans="1:39" s="283" customFormat="1" ht="15.5" outlineLevel="1">
      <c r="A173" s="503"/>
      <c r="B173" s="294"/>
      <c r="C173" s="305"/>
      <c r="D173" s="753"/>
      <c r="E173" s="753"/>
      <c r="F173" s="753"/>
      <c r="G173" s="753"/>
      <c r="H173" s="753"/>
      <c r="I173" s="753"/>
      <c r="J173" s="753"/>
      <c r="K173" s="753"/>
      <c r="L173" s="753"/>
      <c r="M173" s="753"/>
      <c r="N173" s="750"/>
      <c r="O173" s="753"/>
      <c r="P173" s="753"/>
      <c r="Q173" s="753"/>
      <c r="R173" s="753"/>
      <c r="S173" s="753"/>
      <c r="T173" s="753"/>
      <c r="U173" s="753"/>
      <c r="V173" s="753"/>
      <c r="W173" s="753"/>
      <c r="X173" s="753"/>
      <c r="Y173" s="761"/>
      <c r="Z173" s="761"/>
      <c r="AA173" s="761"/>
      <c r="AB173" s="761"/>
      <c r="AC173" s="761"/>
      <c r="AD173" s="761"/>
      <c r="AE173" s="761"/>
      <c r="AF173" s="411"/>
      <c r="AG173" s="411"/>
      <c r="AH173" s="411"/>
      <c r="AI173" s="411"/>
      <c r="AJ173" s="411"/>
      <c r="AK173" s="411"/>
      <c r="AL173" s="411"/>
      <c r="AM173" s="306"/>
    </row>
    <row r="174" spans="1:39" ht="15.5" outlineLevel="1">
      <c r="A174" s="503">
        <v>9</v>
      </c>
      <c r="B174" s="294" t="s">
        <v>7</v>
      </c>
      <c r="C174" s="291" t="s">
        <v>25</v>
      </c>
      <c r="D174" s="295"/>
      <c r="E174" s="295"/>
      <c r="F174" s="295"/>
      <c r="G174" s="295"/>
      <c r="H174" s="295"/>
      <c r="I174" s="295"/>
      <c r="J174" s="295"/>
      <c r="K174" s="295"/>
      <c r="L174" s="295"/>
      <c r="M174" s="295"/>
      <c r="N174" s="750"/>
      <c r="O174" s="295"/>
      <c r="P174" s="295"/>
      <c r="Q174" s="295"/>
      <c r="R174" s="295"/>
      <c r="S174" s="295"/>
      <c r="T174" s="295"/>
      <c r="U174" s="295"/>
      <c r="V174" s="295"/>
      <c r="W174" s="295"/>
      <c r="X174" s="295"/>
      <c r="Y174" s="759"/>
      <c r="Z174" s="759"/>
      <c r="AA174" s="759"/>
      <c r="AB174" s="759"/>
      <c r="AC174" s="759"/>
      <c r="AD174" s="759"/>
      <c r="AE174" s="759"/>
      <c r="AF174" s="409"/>
      <c r="AG174" s="409"/>
      <c r="AH174" s="409"/>
      <c r="AI174" s="409"/>
      <c r="AJ174" s="409"/>
      <c r="AK174" s="409"/>
      <c r="AL174" s="409"/>
      <c r="AM174" s="296">
        <f>SUM(Y174:AL174)</f>
        <v>0</v>
      </c>
    </row>
    <row r="175" spans="2:39" ht="15.5" outlineLevel="1">
      <c r="B175" s="294" t="s">
        <v>244</v>
      </c>
      <c r="C175" s="291" t="s">
        <v>163</v>
      </c>
      <c r="D175" s="295"/>
      <c r="E175" s="295"/>
      <c r="F175" s="295"/>
      <c r="G175" s="295"/>
      <c r="H175" s="295"/>
      <c r="I175" s="295"/>
      <c r="J175" s="295"/>
      <c r="K175" s="295"/>
      <c r="L175" s="295"/>
      <c r="M175" s="295"/>
      <c r="N175" s="750"/>
      <c r="O175" s="295"/>
      <c r="P175" s="295"/>
      <c r="Q175" s="295"/>
      <c r="R175" s="295"/>
      <c r="S175" s="295"/>
      <c r="T175" s="295"/>
      <c r="U175" s="295"/>
      <c r="V175" s="295"/>
      <c r="W175" s="295"/>
      <c r="X175" s="295"/>
      <c r="Y175" s="760">
        <f>Y174</f>
        <v>0</v>
      </c>
      <c r="Z175" s="760">
        <f>Z174</f>
        <v>0</v>
      </c>
      <c r="AA175" s="760">
        <f t="shared" si="86" ref="AA175:AE175">AA174</f>
        <v>0</v>
      </c>
      <c r="AB175" s="760">
        <f t="shared" si="86"/>
        <v>0</v>
      </c>
      <c r="AC175" s="760">
        <f t="shared" si="86"/>
        <v>0</v>
      </c>
      <c r="AD175" s="760">
        <f t="shared" si="86"/>
        <v>0</v>
      </c>
      <c r="AE175" s="760">
        <f t="shared" si="86"/>
        <v>0</v>
      </c>
      <c r="AF175" s="410">
        <f t="shared" si="87" ref="AF175:AL175">AF174</f>
        <v>0</v>
      </c>
      <c r="AG175" s="410">
        <f t="shared" si="87"/>
        <v>0</v>
      </c>
      <c r="AH175" s="410">
        <f t="shared" si="87"/>
        <v>0</v>
      </c>
      <c r="AI175" s="410">
        <f t="shared" si="87"/>
        <v>0</v>
      </c>
      <c r="AJ175" s="410">
        <f t="shared" si="87"/>
        <v>0</v>
      </c>
      <c r="AK175" s="410">
        <f t="shared" si="87"/>
        <v>0</v>
      </c>
      <c r="AL175" s="410">
        <f t="shared" si="87"/>
        <v>0</v>
      </c>
      <c r="AM175" s="499"/>
    </row>
    <row r="176" spans="2:39" ht="15.5" outlineLevel="1">
      <c r="B176" s="307"/>
      <c r="C176" s="308"/>
      <c r="D176" s="750"/>
      <c r="E176" s="750"/>
      <c r="F176" s="750"/>
      <c r="G176" s="750"/>
      <c r="H176" s="750"/>
      <c r="I176" s="750"/>
      <c r="J176" s="750"/>
      <c r="K176" s="750"/>
      <c r="L176" s="750"/>
      <c r="M176" s="750"/>
      <c r="N176" s="750"/>
      <c r="O176" s="750"/>
      <c r="P176" s="750"/>
      <c r="Q176" s="750"/>
      <c r="R176" s="750"/>
      <c r="S176" s="750"/>
      <c r="T176" s="750"/>
      <c r="U176" s="750"/>
      <c r="V176" s="750"/>
      <c r="W176" s="750"/>
      <c r="X176" s="750"/>
      <c r="Y176" s="761"/>
      <c r="Z176" s="761"/>
      <c r="AA176" s="761"/>
      <c r="AB176" s="761"/>
      <c r="AC176" s="761"/>
      <c r="AD176" s="761"/>
      <c r="AE176" s="761"/>
      <c r="AF176" s="411"/>
      <c r="AG176" s="411"/>
      <c r="AH176" s="411"/>
      <c r="AI176" s="411"/>
      <c r="AJ176" s="411"/>
      <c r="AK176" s="411"/>
      <c r="AL176" s="411"/>
      <c r="AM176" s="306"/>
    </row>
    <row r="177" spans="1:39" ht="15.5" outlineLevel="1">
      <c r="A177" s="504"/>
      <c r="B177" s="288" t="s">
        <v>8</v>
      </c>
      <c r="C177" s="289"/>
      <c r="D177" s="754"/>
      <c r="E177" s="754"/>
      <c r="F177" s="754"/>
      <c r="G177" s="754"/>
      <c r="H177" s="754"/>
      <c r="I177" s="754"/>
      <c r="J177" s="754"/>
      <c r="K177" s="754"/>
      <c r="L177" s="754"/>
      <c r="M177" s="754"/>
      <c r="N177" s="750"/>
      <c r="O177" s="754"/>
      <c r="P177" s="754"/>
      <c r="Q177" s="754"/>
      <c r="R177" s="754"/>
      <c r="S177" s="754"/>
      <c r="T177" s="754"/>
      <c r="U177" s="754"/>
      <c r="V177" s="754"/>
      <c r="W177" s="754"/>
      <c r="X177" s="754"/>
      <c r="Y177" s="763"/>
      <c r="Z177" s="763"/>
      <c r="AA177" s="763"/>
      <c r="AB177" s="763"/>
      <c r="AC177" s="763"/>
      <c r="AD177" s="763"/>
      <c r="AE177" s="763"/>
      <c r="AF177" s="413"/>
      <c r="AG177" s="413"/>
      <c r="AH177" s="413"/>
      <c r="AI177" s="413"/>
      <c r="AJ177" s="413"/>
      <c r="AK177" s="413"/>
      <c r="AL177" s="413"/>
      <c r="AM177" s="292"/>
    </row>
    <row r="178" spans="1:39" ht="15.5" outlineLevel="1">
      <c r="A178" s="503">
        <v>10</v>
      </c>
      <c r="B178" s="310" t="s">
        <v>22</v>
      </c>
      <c r="C178" s="291" t="s">
        <v>25</v>
      </c>
      <c r="D178" s="295">
        <f>'7.  Persistence Report'!AR46</f>
        <v>1766600.8902990958</v>
      </c>
      <c r="E178" s="295">
        <f>'7.  Persistence Report'!AS46</f>
        <v>1766600.8902990958</v>
      </c>
      <c r="F178" s="295">
        <f>'7.  Persistence Report'!AT46</f>
        <v>1766600.8902990958</v>
      </c>
      <c r="G178" s="295">
        <f>'7.  Persistence Report'!AU46</f>
        <v>1766600.8902990958</v>
      </c>
      <c r="H178" s="295">
        <f>'7.  Persistence Report'!AV46</f>
        <v>1766600.8902990958</v>
      </c>
      <c r="I178" s="295">
        <f>'7.  Persistence Report'!AW46</f>
        <v>1751500.7360676003</v>
      </c>
      <c r="J178" s="295">
        <f>'7.  Persistence Report'!AX46</f>
        <v>1721619.6747512654</v>
      </c>
      <c r="K178" s="295">
        <f>'7.  Persistence Report'!AY46</f>
        <v>1721619.6747512654</v>
      </c>
      <c r="L178" s="295">
        <f>'7.  Persistence Report'!AZ46</f>
        <v>1696762.0333809508</v>
      </c>
      <c r="M178" s="295">
        <f>'7.  Persistence Report'!BA46</f>
        <v>1293819.5747477813</v>
      </c>
      <c r="N178" s="295">
        <v>12</v>
      </c>
      <c r="O178" s="295">
        <f>'7.  Persistence Report'!M46</f>
        <v>264.3443969891793</v>
      </c>
      <c r="P178" s="295">
        <f>'7.  Persistence Report'!N46</f>
        <v>264.3443969891793</v>
      </c>
      <c r="Q178" s="295">
        <f>'7.  Persistence Report'!O46</f>
        <v>264.3443969891793</v>
      </c>
      <c r="R178" s="295">
        <f>'7.  Persistence Report'!P46</f>
        <v>264.3443969891793</v>
      </c>
      <c r="S178" s="295">
        <f>'7.  Persistence Report'!Q46</f>
        <v>264.3443969891793</v>
      </c>
      <c r="T178" s="295">
        <f>'7.  Persistence Report'!R46</f>
        <v>259.711711237222</v>
      </c>
      <c r="U178" s="295">
        <f>'7.  Persistence Report'!S46</f>
        <v>255.0544809996928</v>
      </c>
      <c r="V178" s="295">
        <f>'7.  Persistence Report'!T46</f>
        <v>255.0544809996928</v>
      </c>
      <c r="W178" s="295">
        <f>'7.  Persistence Report'!U46</f>
        <v>248.22008211607255</v>
      </c>
      <c r="X178" s="295">
        <f>'7.  Persistence Report'!V46</f>
        <v>185.41790174957657</v>
      </c>
      <c r="Y178" s="774"/>
      <c r="Z178" s="775">
        <v>0.1235</v>
      </c>
      <c r="AA178" s="775">
        <v>0.33739999999999998</v>
      </c>
      <c r="AB178" s="764">
        <v>0.53610000000000002</v>
      </c>
      <c r="AC178" s="764"/>
      <c r="AD178" s="764"/>
      <c r="AE178" s="764"/>
      <c r="AF178" s="414"/>
      <c r="AG178" s="414"/>
      <c r="AH178" s="414"/>
      <c r="AI178" s="414"/>
      <c r="AJ178" s="414"/>
      <c r="AK178" s="414"/>
      <c r="AL178" s="414"/>
      <c r="AM178" s="296">
        <f>SUM(Y178:AL178)</f>
        <v>0.997</v>
      </c>
    </row>
    <row r="179" spans="2:39" ht="15.5" outlineLevel="1">
      <c r="B179" s="294" t="s">
        <v>244</v>
      </c>
      <c r="C179" s="291" t="s">
        <v>163</v>
      </c>
      <c r="D179" s="295">
        <f>'7.  Persistence Report'!AR64</f>
        <v>69162.097060236003</v>
      </c>
      <c r="E179" s="295">
        <f>'7.  Persistence Report'!AS64</f>
        <v>69162.097060236003</v>
      </c>
      <c r="F179" s="295">
        <f>'7.  Persistence Report'!AT64</f>
        <v>69162.097060236003</v>
      </c>
      <c r="G179" s="295">
        <f>'7.  Persistence Report'!AU64</f>
        <v>69162.097060236003</v>
      </c>
      <c r="H179" s="295">
        <f>'7.  Persistence Report'!AV64</f>
        <v>69162.097060236003</v>
      </c>
      <c r="I179" s="295">
        <f>'7.  Persistence Report'!AW64</f>
        <v>69162.097060236003</v>
      </c>
      <c r="J179" s="295">
        <f>'7.  Persistence Report'!AX64</f>
        <v>69162.097060236003</v>
      </c>
      <c r="K179" s="295">
        <f>'7.  Persistence Report'!AY64</f>
        <v>69162.097060236003</v>
      </c>
      <c r="L179" s="295">
        <f>'7.  Persistence Report'!AZ64</f>
        <v>69162.097060236003</v>
      </c>
      <c r="M179" s="295">
        <f>'7.  Persistence Report'!BA64</f>
        <v>69162.097060236003</v>
      </c>
      <c r="N179" s="295">
        <f>N178</f>
        <v>12</v>
      </c>
      <c r="O179" s="295">
        <f>'7.  Persistence Report'!M64</f>
        <v>12.168868435</v>
      </c>
      <c r="P179" s="295">
        <f>'7.  Persistence Report'!N64</f>
        <v>12.168868435</v>
      </c>
      <c r="Q179" s="295">
        <f>'7.  Persistence Report'!O64</f>
        <v>12.168868435</v>
      </c>
      <c r="R179" s="295">
        <f>'7.  Persistence Report'!P64</f>
        <v>12.168868435</v>
      </c>
      <c r="S179" s="295">
        <f>'7.  Persistence Report'!Q64</f>
        <v>12.168868435</v>
      </c>
      <c r="T179" s="295">
        <f>'7.  Persistence Report'!R64</f>
        <v>12.168868435</v>
      </c>
      <c r="U179" s="295">
        <f>'7.  Persistence Report'!S64</f>
        <v>12.168868435</v>
      </c>
      <c r="V179" s="295">
        <f>'7.  Persistence Report'!T64</f>
        <v>12.168868435</v>
      </c>
      <c r="W179" s="295">
        <f>'7.  Persistence Report'!U64</f>
        <v>12.168868435</v>
      </c>
      <c r="X179" s="295">
        <f>'7.  Persistence Report'!V64</f>
        <v>12.168868435</v>
      </c>
      <c r="Y179" s="760">
        <f>Y178</f>
        <v>0</v>
      </c>
      <c r="Z179" s="760">
        <f>Z178</f>
        <v>0.1235</v>
      </c>
      <c r="AA179" s="760">
        <f t="shared" si="88" ref="AA179:AE179">AA178</f>
        <v>0.33739999999999998</v>
      </c>
      <c r="AB179" s="760">
        <f t="shared" si="88"/>
        <v>0.53610000000000002</v>
      </c>
      <c r="AC179" s="760">
        <f t="shared" si="88"/>
        <v>0</v>
      </c>
      <c r="AD179" s="760">
        <f t="shared" si="88"/>
        <v>0</v>
      </c>
      <c r="AE179" s="760">
        <f t="shared" si="88"/>
        <v>0</v>
      </c>
      <c r="AF179" s="410">
        <f t="shared" si="89" ref="AF179:AL179">AF178</f>
        <v>0</v>
      </c>
      <c r="AG179" s="410">
        <f t="shared" si="89"/>
        <v>0</v>
      </c>
      <c r="AH179" s="410">
        <f t="shared" si="89"/>
        <v>0</v>
      </c>
      <c r="AI179" s="410">
        <f t="shared" si="89"/>
        <v>0</v>
      </c>
      <c r="AJ179" s="410">
        <f t="shared" si="89"/>
        <v>0</v>
      </c>
      <c r="AK179" s="410">
        <f t="shared" si="89"/>
        <v>0</v>
      </c>
      <c r="AL179" s="410">
        <f t="shared" si="89"/>
        <v>0</v>
      </c>
      <c r="AM179" s="499"/>
    </row>
    <row r="180" spans="2:39" ht="15.5" outlineLevel="1">
      <c r="B180" s="310"/>
      <c r="C180" s="312"/>
      <c r="D180" s="750"/>
      <c r="E180" s="750"/>
      <c r="F180" s="750"/>
      <c r="G180" s="750"/>
      <c r="H180" s="750"/>
      <c r="I180" s="750"/>
      <c r="J180" s="750"/>
      <c r="K180" s="750"/>
      <c r="L180" s="750"/>
      <c r="M180" s="750"/>
      <c r="N180" s="750"/>
      <c r="O180" s="750"/>
      <c r="P180" s="750"/>
      <c r="Q180" s="750"/>
      <c r="R180" s="750"/>
      <c r="S180" s="750"/>
      <c r="T180" s="750"/>
      <c r="U180" s="750"/>
      <c r="V180" s="750"/>
      <c r="W180" s="750"/>
      <c r="X180" s="750"/>
      <c r="Y180" s="765"/>
      <c r="Z180" s="765"/>
      <c r="AA180" s="765"/>
      <c r="AB180" s="765"/>
      <c r="AC180" s="765"/>
      <c r="AD180" s="765"/>
      <c r="AE180" s="765"/>
      <c r="AF180" s="415"/>
      <c r="AG180" s="415"/>
      <c r="AH180" s="415"/>
      <c r="AI180" s="415"/>
      <c r="AJ180" s="415"/>
      <c r="AK180" s="415"/>
      <c r="AL180" s="415"/>
      <c r="AM180" s="313"/>
    </row>
    <row r="181" spans="1:39" ht="15.5" outlineLevel="1">
      <c r="A181" s="503">
        <v>11</v>
      </c>
      <c r="B181" s="314" t="s">
        <v>21</v>
      </c>
      <c r="C181" s="291" t="s">
        <v>25</v>
      </c>
      <c r="D181" s="295">
        <f>'7.  Persistence Report'!AR45</f>
        <v>35756.644886088456</v>
      </c>
      <c r="E181" s="295">
        <f>'7.  Persistence Report'!AS45</f>
        <v>35756.644886088456</v>
      </c>
      <c r="F181" s="295">
        <f>'7.  Persistence Report'!AT45</f>
        <v>34546.250534804873</v>
      </c>
      <c r="G181" s="295">
        <f>'7.  Persistence Report'!AU45</f>
        <v>20424.601744427779</v>
      </c>
      <c r="H181" s="295">
        <f>'7.  Persistence Report'!AV45</f>
        <v>20368.578208910258</v>
      </c>
      <c r="I181" s="295">
        <f>'7.  Persistence Report'!AW45</f>
        <v>4938.7299094636246</v>
      </c>
      <c r="J181" s="295">
        <f>'7.  Persistence Report'!AX45</f>
        <v>4938.7299094636246</v>
      </c>
      <c r="K181" s="295">
        <f>'7.  Persistence Report'!AY45</f>
        <v>4938.7299094636246</v>
      </c>
      <c r="L181" s="295">
        <f>'7.  Persistence Report'!AZ45</f>
        <v>4938.7299094636246</v>
      </c>
      <c r="M181" s="295">
        <f>'7.  Persistence Report'!BA45</f>
        <v>4938.7299094636246</v>
      </c>
      <c r="N181" s="295">
        <v>12</v>
      </c>
      <c r="O181" s="295">
        <f>'7.  Persistence Report'!M45</f>
        <v>8.8026296966164779</v>
      </c>
      <c r="P181" s="295">
        <f>'7.  Persistence Report'!N45</f>
        <v>8.8026296966164779</v>
      </c>
      <c r="Q181" s="295">
        <f>'7.  Persistence Report'!O45</f>
        <v>8.4510310491760983</v>
      </c>
      <c r="R181" s="295">
        <f>'7.  Persistence Report'!P45</f>
        <v>5.3782674460159923</v>
      </c>
      <c r="S181" s="295">
        <f>'7.  Persistence Report'!Q45</f>
        <v>5.3647882563434637</v>
      </c>
      <c r="T181" s="295">
        <f>'7.  Persistence Report'!R45</f>
        <v>1.2651971914062754</v>
      </c>
      <c r="U181" s="295">
        <f>'7.  Persistence Report'!S45</f>
        <v>1.2651971914062754</v>
      </c>
      <c r="V181" s="295">
        <f>'7.  Persistence Report'!T45</f>
        <v>1.2651971914062754</v>
      </c>
      <c r="W181" s="295">
        <f>'7.  Persistence Report'!U45</f>
        <v>1.2651971914062754</v>
      </c>
      <c r="X181" s="295">
        <f>'7.  Persistence Report'!V45</f>
        <v>1.2651971914062754</v>
      </c>
      <c r="Y181" s="764"/>
      <c r="Z181" s="775">
        <v>1</v>
      </c>
      <c r="AA181" s="764"/>
      <c r="AB181" s="764"/>
      <c r="AC181" s="764"/>
      <c r="AD181" s="764"/>
      <c r="AE181" s="764"/>
      <c r="AF181" s="414"/>
      <c r="AG181" s="414"/>
      <c r="AH181" s="414"/>
      <c r="AI181" s="414"/>
      <c r="AJ181" s="414"/>
      <c r="AK181" s="414"/>
      <c r="AL181" s="414"/>
      <c r="AM181" s="296">
        <f>SUM(Y181:AL181)</f>
        <v>1</v>
      </c>
    </row>
    <row r="182" spans="2: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760">
        <f>Y181</f>
        <v>0</v>
      </c>
      <c r="Z182" s="760">
        <f>Z181</f>
        <v>1</v>
      </c>
      <c r="AA182" s="760">
        <f t="shared" si="90" ref="AA182:AE182">AA181</f>
        <v>0</v>
      </c>
      <c r="AB182" s="760">
        <f t="shared" si="90"/>
        <v>0</v>
      </c>
      <c r="AC182" s="760">
        <f t="shared" si="90"/>
        <v>0</v>
      </c>
      <c r="AD182" s="760">
        <f t="shared" si="90"/>
        <v>0</v>
      </c>
      <c r="AE182" s="760">
        <f t="shared" si="90"/>
        <v>0</v>
      </c>
      <c r="AF182" s="410">
        <f t="shared" si="91" ref="AF182:AL182">AF181</f>
        <v>0</v>
      </c>
      <c r="AG182" s="410">
        <f t="shared" si="91"/>
        <v>0</v>
      </c>
      <c r="AH182" s="410">
        <f t="shared" si="91"/>
        <v>0</v>
      </c>
      <c r="AI182" s="410">
        <f t="shared" si="91"/>
        <v>0</v>
      </c>
      <c r="AJ182" s="410">
        <f t="shared" si="91"/>
        <v>0</v>
      </c>
      <c r="AK182" s="410">
        <f t="shared" si="91"/>
        <v>0</v>
      </c>
      <c r="AL182" s="410">
        <f t="shared" si="91"/>
        <v>0</v>
      </c>
      <c r="AM182" s="499"/>
    </row>
    <row r="183" spans="2:39" ht="15.5" outlineLevel="1">
      <c r="B183" s="314"/>
      <c r="C183" s="312"/>
      <c r="D183" s="750"/>
      <c r="E183" s="750"/>
      <c r="F183" s="750"/>
      <c r="G183" s="750"/>
      <c r="H183" s="750"/>
      <c r="I183" s="750"/>
      <c r="J183" s="750"/>
      <c r="K183" s="750"/>
      <c r="L183" s="750"/>
      <c r="M183" s="750"/>
      <c r="N183" s="750"/>
      <c r="O183" s="750"/>
      <c r="P183" s="750"/>
      <c r="Q183" s="750"/>
      <c r="R183" s="750"/>
      <c r="S183" s="750"/>
      <c r="T183" s="750"/>
      <c r="U183" s="750"/>
      <c r="V183" s="750"/>
      <c r="W183" s="750"/>
      <c r="X183" s="750"/>
      <c r="Y183" s="765"/>
      <c r="Z183" s="766"/>
      <c r="AA183" s="765"/>
      <c r="AB183" s="765"/>
      <c r="AC183" s="765"/>
      <c r="AD183" s="765"/>
      <c r="AE183" s="765"/>
      <c r="AF183" s="415"/>
      <c r="AG183" s="415"/>
      <c r="AH183" s="415"/>
      <c r="AI183" s="415"/>
      <c r="AJ183" s="415"/>
      <c r="AK183" s="415"/>
      <c r="AL183" s="415"/>
      <c r="AM183" s="313"/>
    </row>
    <row r="184" spans="1:39" ht="15.5" outlineLevel="1">
      <c r="A184" s="503">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764"/>
      <c r="Z184" s="764"/>
      <c r="AA184" s="764"/>
      <c r="AB184" s="764"/>
      <c r="AC184" s="764"/>
      <c r="AD184" s="764"/>
      <c r="AE184" s="764"/>
      <c r="AF184" s="414"/>
      <c r="AG184" s="414"/>
      <c r="AH184" s="414"/>
      <c r="AI184" s="414"/>
      <c r="AJ184" s="414"/>
      <c r="AK184" s="414"/>
      <c r="AL184" s="414"/>
      <c r="AM184" s="296">
        <f>SUM(Y184:AL184)</f>
        <v>0</v>
      </c>
    </row>
    <row r="185" spans="2: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60">
        <f>Y184</f>
        <v>0</v>
      </c>
      <c r="Z185" s="760">
        <f>Z184</f>
        <v>0</v>
      </c>
      <c r="AA185" s="760">
        <f t="shared" si="92" ref="AA185:AE185">AA184</f>
        <v>0</v>
      </c>
      <c r="AB185" s="760">
        <f t="shared" si="92"/>
        <v>0</v>
      </c>
      <c r="AC185" s="760">
        <f t="shared" si="92"/>
        <v>0</v>
      </c>
      <c r="AD185" s="760">
        <f t="shared" si="92"/>
        <v>0</v>
      </c>
      <c r="AE185" s="760">
        <f t="shared" si="92"/>
        <v>0</v>
      </c>
      <c r="AF185" s="410">
        <f t="shared" si="93" ref="AF185:AL185">AF184</f>
        <v>0</v>
      </c>
      <c r="AG185" s="410">
        <f t="shared" si="93"/>
        <v>0</v>
      </c>
      <c r="AH185" s="410">
        <f t="shared" si="93"/>
        <v>0</v>
      </c>
      <c r="AI185" s="410">
        <f t="shared" si="93"/>
        <v>0</v>
      </c>
      <c r="AJ185" s="410">
        <f t="shared" si="93"/>
        <v>0</v>
      </c>
      <c r="AK185" s="410">
        <f t="shared" si="93"/>
        <v>0</v>
      </c>
      <c r="AL185" s="410">
        <f t="shared" si="93"/>
        <v>0</v>
      </c>
      <c r="AM185" s="499"/>
    </row>
    <row r="186" spans="2:39" ht="15.5" outlineLevel="1">
      <c r="B186" s="314"/>
      <c r="C186" s="312"/>
      <c r="D186" s="755"/>
      <c r="E186" s="755"/>
      <c r="F186" s="755"/>
      <c r="G186" s="755"/>
      <c r="H186" s="755"/>
      <c r="I186" s="755"/>
      <c r="J186" s="755"/>
      <c r="K186" s="755"/>
      <c r="L186" s="755"/>
      <c r="M186" s="755"/>
      <c r="N186" s="750"/>
      <c r="O186" s="755"/>
      <c r="P186" s="755"/>
      <c r="Q186" s="755"/>
      <c r="R186" s="755"/>
      <c r="S186" s="755"/>
      <c r="T186" s="755"/>
      <c r="U186" s="755"/>
      <c r="V186" s="755"/>
      <c r="W186" s="755"/>
      <c r="X186" s="755"/>
      <c r="Y186" s="765"/>
      <c r="Z186" s="766"/>
      <c r="AA186" s="765"/>
      <c r="AB186" s="765"/>
      <c r="AC186" s="765"/>
      <c r="AD186" s="765"/>
      <c r="AE186" s="765"/>
      <c r="AF186" s="415"/>
      <c r="AG186" s="415"/>
      <c r="AH186" s="415"/>
      <c r="AI186" s="415"/>
      <c r="AJ186" s="415"/>
      <c r="AK186" s="415"/>
      <c r="AL186" s="415"/>
      <c r="AM186" s="313"/>
    </row>
    <row r="187" spans="1:39" ht="15.5" outlineLevel="1">
      <c r="A187" s="503">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764"/>
      <c r="Z187" s="764"/>
      <c r="AA187" s="764"/>
      <c r="AB187" s="764"/>
      <c r="AC187" s="764"/>
      <c r="AD187" s="764"/>
      <c r="AE187" s="764"/>
      <c r="AF187" s="414"/>
      <c r="AG187" s="414"/>
      <c r="AH187" s="414"/>
      <c r="AI187" s="414"/>
      <c r="AJ187" s="414"/>
      <c r="AK187" s="414"/>
      <c r="AL187" s="414"/>
      <c r="AM187" s="296">
        <f>SUM(Y187:AL187)</f>
        <v>0</v>
      </c>
    </row>
    <row r="188" spans="2: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60">
        <f>Y187</f>
        <v>0</v>
      </c>
      <c r="Z188" s="760">
        <f>Z187</f>
        <v>0</v>
      </c>
      <c r="AA188" s="760">
        <f t="shared" si="94" ref="AA188:AE188">AA187</f>
        <v>0</v>
      </c>
      <c r="AB188" s="760">
        <f t="shared" si="94"/>
        <v>0</v>
      </c>
      <c r="AC188" s="760">
        <f t="shared" si="94"/>
        <v>0</v>
      </c>
      <c r="AD188" s="760">
        <f t="shared" si="94"/>
        <v>0</v>
      </c>
      <c r="AE188" s="760">
        <f t="shared" si="94"/>
        <v>0</v>
      </c>
      <c r="AF188" s="410">
        <f t="shared" si="95" ref="AF188:AL188">AF187</f>
        <v>0</v>
      </c>
      <c r="AG188" s="410">
        <f t="shared" si="95"/>
        <v>0</v>
      </c>
      <c r="AH188" s="410">
        <f t="shared" si="95"/>
        <v>0</v>
      </c>
      <c r="AI188" s="410">
        <f t="shared" si="95"/>
        <v>0</v>
      </c>
      <c r="AJ188" s="410">
        <f t="shared" si="95"/>
        <v>0</v>
      </c>
      <c r="AK188" s="410">
        <f t="shared" si="95"/>
        <v>0</v>
      </c>
      <c r="AL188" s="410">
        <f t="shared" si="95"/>
        <v>0</v>
      </c>
      <c r="AM188" s="499"/>
    </row>
    <row r="189" spans="2:39" ht="15.5" outlineLevel="1">
      <c r="B189" s="314"/>
      <c r="C189" s="312"/>
      <c r="D189" s="755"/>
      <c r="E189" s="755"/>
      <c r="F189" s="755"/>
      <c r="G189" s="755"/>
      <c r="H189" s="755"/>
      <c r="I189" s="755"/>
      <c r="J189" s="755"/>
      <c r="K189" s="755"/>
      <c r="L189" s="755"/>
      <c r="M189" s="755"/>
      <c r="N189" s="750"/>
      <c r="O189" s="755"/>
      <c r="P189" s="755"/>
      <c r="Q189" s="755"/>
      <c r="R189" s="755"/>
      <c r="S189" s="755"/>
      <c r="T189" s="755"/>
      <c r="U189" s="755"/>
      <c r="V189" s="755"/>
      <c r="W189" s="755"/>
      <c r="X189" s="755"/>
      <c r="Y189" s="765"/>
      <c r="Z189" s="765"/>
      <c r="AA189" s="765"/>
      <c r="AB189" s="765"/>
      <c r="AC189" s="765"/>
      <c r="AD189" s="765"/>
      <c r="AE189" s="765"/>
      <c r="AF189" s="415"/>
      <c r="AG189" s="415"/>
      <c r="AH189" s="415"/>
      <c r="AI189" s="415"/>
      <c r="AJ189" s="415"/>
      <c r="AK189" s="415"/>
      <c r="AL189" s="415"/>
      <c r="AM189" s="313"/>
    </row>
    <row r="190" spans="1:39" ht="15.5" outlineLevel="1">
      <c r="A190" s="503">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764"/>
      <c r="Z190" s="764"/>
      <c r="AA190" s="764"/>
      <c r="AB190" s="764"/>
      <c r="AC190" s="764"/>
      <c r="AD190" s="764"/>
      <c r="AE190" s="764"/>
      <c r="AF190" s="414"/>
      <c r="AG190" s="414"/>
      <c r="AH190" s="414"/>
      <c r="AI190" s="414"/>
      <c r="AJ190" s="414"/>
      <c r="AK190" s="414"/>
      <c r="AL190" s="414"/>
      <c r="AM190" s="296">
        <f>SUM(Y190:AL190)</f>
        <v>0</v>
      </c>
    </row>
    <row r="191" spans="2: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760">
        <f>Y190</f>
        <v>0</v>
      </c>
      <c r="Z191" s="760">
        <f>Z190</f>
        <v>0</v>
      </c>
      <c r="AA191" s="760">
        <f t="shared" si="96" ref="AA191:AE191">AA190</f>
        <v>0</v>
      </c>
      <c r="AB191" s="760">
        <f t="shared" si="96"/>
        <v>0</v>
      </c>
      <c r="AC191" s="760">
        <f t="shared" si="96"/>
        <v>0</v>
      </c>
      <c r="AD191" s="760">
        <f t="shared" si="96"/>
        <v>0</v>
      </c>
      <c r="AE191" s="760">
        <f t="shared" si="96"/>
        <v>0</v>
      </c>
      <c r="AF191" s="410">
        <f t="shared" si="97" ref="AF191:AL191">AF190</f>
        <v>0</v>
      </c>
      <c r="AG191" s="410">
        <f t="shared" si="97"/>
        <v>0</v>
      </c>
      <c r="AH191" s="410">
        <f t="shared" si="97"/>
        <v>0</v>
      </c>
      <c r="AI191" s="410">
        <f t="shared" si="97"/>
        <v>0</v>
      </c>
      <c r="AJ191" s="410">
        <f t="shared" si="97"/>
        <v>0</v>
      </c>
      <c r="AK191" s="410">
        <f t="shared" si="97"/>
        <v>0</v>
      </c>
      <c r="AL191" s="410">
        <f t="shared" si="97"/>
        <v>0</v>
      </c>
      <c r="AM191" s="499"/>
    </row>
    <row r="192" spans="2:39" ht="15.5" outlineLevel="1">
      <c r="B192" s="314"/>
      <c r="C192" s="312"/>
      <c r="D192" s="755"/>
      <c r="E192" s="755"/>
      <c r="F192" s="755"/>
      <c r="G192" s="755"/>
      <c r="H192" s="755"/>
      <c r="I192" s="755"/>
      <c r="J192" s="755"/>
      <c r="K192" s="755"/>
      <c r="L192" s="755"/>
      <c r="M192" s="755"/>
      <c r="N192" s="750"/>
      <c r="O192" s="755"/>
      <c r="P192" s="755"/>
      <c r="Q192" s="755"/>
      <c r="R192" s="755"/>
      <c r="S192" s="755"/>
      <c r="T192" s="755"/>
      <c r="U192" s="755"/>
      <c r="V192" s="755"/>
      <c r="W192" s="755"/>
      <c r="X192" s="755"/>
      <c r="Y192" s="765"/>
      <c r="Z192" s="766"/>
      <c r="AA192" s="765"/>
      <c r="AB192" s="765"/>
      <c r="AC192" s="765"/>
      <c r="AD192" s="765"/>
      <c r="AE192" s="765"/>
      <c r="AF192" s="415"/>
      <c r="AG192" s="415"/>
      <c r="AH192" s="415"/>
      <c r="AI192" s="415"/>
      <c r="AJ192" s="415"/>
      <c r="AK192" s="415"/>
      <c r="AL192" s="415"/>
      <c r="AM192" s="313"/>
    </row>
    <row r="193" spans="1:39" s="283" customFormat="1" ht="15.5" outlineLevel="1">
      <c r="A193" s="503">
        <v>15</v>
      </c>
      <c r="B193" s="314" t="s">
        <v>485</v>
      </c>
      <c r="C193" s="291" t="s">
        <v>25</v>
      </c>
      <c r="D193" s="295"/>
      <c r="E193" s="295"/>
      <c r="F193" s="295"/>
      <c r="G193" s="295"/>
      <c r="H193" s="295"/>
      <c r="I193" s="295"/>
      <c r="J193" s="295"/>
      <c r="K193" s="295"/>
      <c r="L193" s="295"/>
      <c r="M193" s="295"/>
      <c r="N193" s="750"/>
      <c r="O193" s="295"/>
      <c r="P193" s="295"/>
      <c r="Q193" s="295"/>
      <c r="R193" s="295"/>
      <c r="S193" s="295"/>
      <c r="T193" s="295"/>
      <c r="U193" s="295"/>
      <c r="V193" s="295"/>
      <c r="W193" s="295"/>
      <c r="X193" s="295"/>
      <c r="Y193" s="764"/>
      <c r="Z193" s="764"/>
      <c r="AA193" s="764"/>
      <c r="AB193" s="764"/>
      <c r="AC193" s="764"/>
      <c r="AD193" s="764"/>
      <c r="AE193" s="764"/>
      <c r="AF193" s="414"/>
      <c r="AG193" s="414"/>
      <c r="AH193" s="414"/>
      <c r="AI193" s="414"/>
      <c r="AJ193" s="414"/>
      <c r="AK193" s="414"/>
      <c r="AL193" s="414"/>
      <c r="AM193" s="296">
        <f>SUM(Y193:AL193)</f>
        <v>0</v>
      </c>
    </row>
    <row r="194" spans="1:39" s="283" customFormat="1" ht="15.5" outlineLevel="1">
      <c r="A194" s="503"/>
      <c r="B194" s="315" t="s">
        <v>244</v>
      </c>
      <c r="C194" s="291" t="s">
        <v>163</v>
      </c>
      <c r="D194" s="295"/>
      <c r="E194" s="295"/>
      <c r="F194" s="295"/>
      <c r="G194" s="295"/>
      <c r="H194" s="295"/>
      <c r="I194" s="295"/>
      <c r="J194" s="295"/>
      <c r="K194" s="295"/>
      <c r="L194" s="295"/>
      <c r="M194" s="295"/>
      <c r="N194" s="750"/>
      <c r="O194" s="295"/>
      <c r="P194" s="295"/>
      <c r="Q194" s="295"/>
      <c r="R194" s="295"/>
      <c r="S194" s="295"/>
      <c r="T194" s="295"/>
      <c r="U194" s="295"/>
      <c r="V194" s="295"/>
      <c r="W194" s="295"/>
      <c r="X194" s="295"/>
      <c r="Y194" s="760">
        <f>Y193</f>
        <v>0</v>
      </c>
      <c r="Z194" s="760">
        <f>Z193</f>
        <v>0</v>
      </c>
      <c r="AA194" s="760">
        <f t="shared" si="98" ref="AA194:AE194">AA193</f>
        <v>0</v>
      </c>
      <c r="AB194" s="760">
        <f t="shared" si="98"/>
        <v>0</v>
      </c>
      <c r="AC194" s="760">
        <f t="shared" si="98"/>
        <v>0</v>
      </c>
      <c r="AD194" s="760">
        <f t="shared" si="98"/>
        <v>0</v>
      </c>
      <c r="AE194" s="760">
        <f t="shared" si="98"/>
        <v>0</v>
      </c>
      <c r="AF194" s="410">
        <f t="shared" si="99" ref="AF194:AL194">AF193</f>
        <v>0</v>
      </c>
      <c r="AG194" s="410">
        <f t="shared" si="99"/>
        <v>0</v>
      </c>
      <c r="AH194" s="410">
        <f t="shared" si="99"/>
        <v>0</v>
      </c>
      <c r="AI194" s="410">
        <f t="shared" si="99"/>
        <v>0</v>
      </c>
      <c r="AJ194" s="410">
        <f t="shared" si="99"/>
        <v>0</v>
      </c>
      <c r="AK194" s="410">
        <f t="shared" si="99"/>
        <v>0</v>
      </c>
      <c r="AL194" s="410">
        <f t="shared" si="99"/>
        <v>0</v>
      </c>
      <c r="AM194" s="499"/>
    </row>
    <row r="195" spans="1:39" s="283" customFormat="1" ht="15.5" outlineLevel="1">
      <c r="A195" s="503"/>
      <c r="B195" s="314"/>
      <c r="C195" s="312"/>
      <c r="D195" s="755"/>
      <c r="E195" s="755"/>
      <c r="F195" s="755"/>
      <c r="G195" s="755"/>
      <c r="H195" s="755"/>
      <c r="I195" s="755"/>
      <c r="J195" s="755"/>
      <c r="K195" s="755"/>
      <c r="L195" s="755"/>
      <c r="M195" s="755"/>
      <c r="N195" s="750"/>
      <c r="O195" s="755"/>
      <c r="P195" s="755"/>
      <c r="Q195" s="755"/>
      <c r="R195" s="755"/>
      <c r="S195" s="755"/>
      <c r="T195" s="755"/>
      <c r="U195" s="755"/>
      <c r="V195" s="755"/>
      <c r="W195" s="755"/>
      <c r="X195" s="755"/>
      <c r="Y195" s="767"/>
      <c r="Z195" s="765"/>
      <c r="AA195" s="765"/>
      <c r="AB195" s="765"/>
      <c r="AC195" s="765"/>
      <c r="AD195" s="765"/>
      <c r="AE195" s="765"/>
      <c r="AF195" s="415"/>
      <c r="AG195" s="415"/>
      <c r="AH195" s="415"/>
      <c r="AI195" s="415"/>
      <c r="AJ195" s="415"/>
      <c r="AK195" s="415"/>
      <c r="AL195" s="415"/>
      <c r="AM195" s="313"/>
    </row>
    <row r="196" spans="1:39" s="283" customFormat="1" ht="31" outlineLevel="1">
      <c r="A196" s="503">
        <v>16</v>
      </c>
      <c r="B196" s="314" t="s">
        <v>486</v>
      </c>
      <c r="C196" s="291" t="s">
        <v>25</v>
      </c>
      <c r="D196" s="295"/>
      <c r="E196" s="295"/>
      <c r="F196" s="295"/>
      <c r="G196" s="295"/>
      <c r="H196" s="295"/>
      <c r="I196" s="295"/>
      <c r="J196" s="295"/>
      <c r="K196" s="295"/>
      <c r="L196" s="295"/>
      <c r="M196" s="295"/>
      <c r="N196" s="750"/>
      <c r="O196" s="295"/>
      <c r="P196" s="295"/>
      <c r="Q196" s="295"/>
      <c r="R196" s="295"/>
      <c r="S196" s="295"/>
      <c r="T196" s="295"/>
      <c r="U196" s="295"/>
      <c r="V196" s="295"/>
      <c r="W196" s="295"/>
      <c r="X196" s="295"/>
      <c r="Y196" s="764"/>
      <c r="Z196" s="764"/>
      <c r="AA196" s="764"/>
      <c r="AB196" s="764"/>
      <c r="AC196" s="764"/>
      <c r="AD196" s="764"/>
      <c r="AE196" s="764"/>
      <c r="AF196" s="414"/>
      <c r="AG196" s="414"/>
      <c r="AH196" s="414"/>
      <c r="AI196" s="414"/>
      <c r="AJ196" s="414"/>
      <c r="AK196" s="414"/>
      <c r="AL196" s="414"/>
      <c r="AM196" s="296">
        <f>SUM(Y196:AL196)</f>
        <v>0</v>
      </c>
    </row>
    <row r="197" spans="1:39" s="283" customFormat="1" ht="15.5" outlineLevel="1">
      <c r="A197" s="503"/>
      <c r="B197" s="315" t="s">
        <v>244</v>
      </c>
      <c r="C197" s="291" t="s">
        <v>163</v>
      </c>
      <c r="D197" s="295"/>
      <c r="E197" s="295"/>
      <c r="F197" s="295"/>
      <c r="G197" s="295"/>
      <c r="H197" s="295"/>
      <c r="I197" s="295"/>
      <c r="J197" s="295"/>
      <c r="K197" s="295"/>
      <c r="L197" s="295"/>
      <c r="M197" s="295"/>
      <c r="N197" s="750"/>
      <c r="O197" s="295"/>
      <c r="P197" s="295"/>
      <c r="Q197" s="295"/>
      <c r="R197" s="295"/>
      <c r="S197" s="295"/>
      <c r="T197" s="295"/>
      <c r="U197" s="295"/>
      <c r="V197" s="295"/>
      <c r="W197" s="295"/>
      <c r="X197" s="295"/>
      <c r="Y197" s="760">
        <f>Y196</f>
        <v>0</v>
      </c>
      <c r="Z197" s="760">
        <f>Z196</f>
        <v>0</v>
      </c>
      <c r="AA197" s="760">
        <f t="shared" si="100" ref="AA197:AE197">AA196</f>
        <v>0</v>
      </c>
      <c r="AB197" s="760">
        <f t="shared" si="100"/>
        <v>0</v>
      </c>
      <c r="AC197" s="760">
        <f t="shared" si="100"/>
        <v>0</v>
      </c>
      <c r="AD197" s="760">
        <f t="shared" si="100"/>
        <v>0</v>
      </c>
      <c r="AE197" s="760">
        <f t="shared" si="100"/>
        <v>0</v>
      </c>
      <c r="AF197" s="410">
        <f t="shared" si="101" ref="AF197:AL197">AF196</f>
        <v>0</v>
      </c>
      <c r="AG197" s="410">
        <f t="shared" si="101"/>
        <v>0</v>
      </c>
      <c r="AH197" s="410">
        <f t="shared" si="101"/>
        <v>0</v>
      </c>
      <c r="AI197" s="410">
        <f t="shared" si="101"/>
        <v>0</v>
      </c>
      <c r="AJ197" s="410">
        <f t="shared" si="101"/>
        <v>0</v>
      </c>
      <c r="AK197" s="410">
        <f t="shared" si="101"/>
        <v>0</v>
      </c>
      <c r="AL197" s="410">
        <f t="shared" si="101"/>
        <v>0</v>
      </c>
      <c r="AM197" s="499"/>
    </row>
    <row r="198" spans="1:39" s="283" customFormat="1" ht="15.5" outlineLevel="1">
      <c r="A198" s="503"/>
      <c r="B198" s="314"/>
      <c r="C198" s="312"/>
      <c r="D198" s="755"/>
      <c r="E198" s="755"/>
      <c r="F198" s="755"/>
      <c r="G198" s="755"/>
      <c r="H198" s="755"/>
      <c r="I198" s="755"/>
      <c r="J198" s="755"/>
      <c r="K198" s="755"/>
      <c r="L198" s="755"/>
      <c r="M198" s="755"/>
      <c r="N198" s="750"/>
      <c r="O198" s="755"/>
      <c r="P198" s="755"/>
      <c r="Q198" s="755"/>
      <c r="R198" s="755"/>
      <c r="S198" s="755"/>
      <c r="T198" s="755"/>
      <c r="U198" s="755"/>
      <c r="V198" s="755"/>
      <c r="W198" s="755"/>
      <c r="X198" s="755"/>
      <c r="Y198" s="767"/>
      <c r="Z198" s="765"/>
      <c r="AA198" s="765"/>
      <c r="AB198" s="765"/>
      <c r="AC198" s="765"/>
      <c r="AD198" s="765"/>
      <c r="AE198" s="765"/>
      <c r="AF198" s="415"/>
      <c r="AG198" s="415"/>
      <c r="AH198" s="415"/>
      <c r="AI198" s="415"/>
      <c r="AJ198" s="415"/>
      <c r="AK198" s="415"/>
      <c r="AL198" s="415"/>
      <c r="AM198" s="313"/>
    </row>
    <row r="199" spans="1:39" ht="15.5" outlineLevel="1">
      <c r="A199" s="503">
        <v>17</v>
      </c>
      <c r="B199" s="314" t="s">
        <v>9</v>
      </c>
      <c r="C199" s="291" t="s">
        <v>25</v>
      </c>
      <c r="D199" s="295"/>
      <c r="E199" s="295"/>
      <c r="F199" s="295"/>
      <c r="G199" s="295"/>
      <c r="H199" s="295"/>
      <c r="I199" s="295"/>
      <c r="J199" s="295"/>
      <c r="K199" s="295"/>
      <c r="L199" s="295"/>
      <c r="M199" s="295"/>
      <c r="N199" s="750"/>
      <c r="O199" s="295"/>
      <c r="P199" s="295"/>
      <c r="Q199" s="295"/>
      <c r="R199" s="295"/>
      <c r="S199" s="295"/>
      <c r="T199" s="295"/>
      <c r="U199" s="295"/>
      <c r="V199" s="295"/>
      <c r="W199" s="295"/>
      <c r="X199" s="295"/>
      <c r="Y199" s="764"/>
      <c r="Z199" s="764"/>
      <c r="AA199" s="764"/>
      <c r="AB199" s="764"/>
      <c r="AC199" s="764"/>
      <c r="AD199" s="764"/>
      <c r="AE199" s="764"/>
      <c r="AF199" s="414"/>
      <c r="AG199" s="414"/>
      <c r="AH199" s="414"/>
      <c r="AI199" s="414"/>
      <c r="AJ199" s="414"/>
      <c r="AK199" s="414"/>
      <c r="AL199" s="414"/>
      <c r="AM199" s="296">
        <f>SUM(Y199:AL199)</f>
        <v>0</v>
      </c>
    </row>
    <row r="200" spans="2:39" ht="15.5" outlineLevel="1">
      <c r="B200" s="294" t="s">
        <v>244</v>
      </c>
      <c r="C200" s="291" t="s">
        <v>163</v>
      </c>
      <c r="D200" s="295"/>
      <c r="E200" s="295"/>
      <c r="F200" s="295"/>
      <c r="G200" s="295"/>
      <c r="H200" s="295"/>
      <c r="I200" s="295"/>
      <c r="J200" s="295"/>
      <c r="K200" s="295"/>
      <c r="L200" s="295"/>
      <c r="M200" s="295"/>
      <c r="N200" s="750"/>
      <c r="O200" s="295"/>
      <c r="P200" s="295"/>
      <c r="Q200" s="295"/>
      <c r="R200" s="295"/>
      <c r="S200" s="295"/>
      <c r="T200" s="295"/>
      <c r="U200" s="295"/>
      <c r="V200" s="295"/>
      <c r="W200" s="295"/>
      <c r="X200" s="295"/>
      <c r="Y200" s="760">
        <f>Y199</f>
        <v>0</v>
      </c>
      <c r="Z200" s="760">
        <f>Z199</f>
        <v>0</v>
      </c>
      <c r="AA200" s="760">
        <f t="shared" si="102" ref="AA200:AE200">AA199</f>
        <v>0</v>
      </c>
      <c r="AB200" s="760">
        <f t="shared" si="102"/>
        <v>0</v>
      </c>
      <c r="AC200" s="760">
        <f t="shared" si="102"/>
        <v>0</v>
      </c>
      <c r="AD200" s="760">
        <f t="shared" si="102"/>
        <v>0</v>
      </c>
      <c r="AE200" s="760">
        <f t="shared" si="102"/>
        <v>0</v>
      </c>
      <c r="AF200" s="410">
        <f t="shared" si="103" ref="AF200:AL200">AF199</f>
        <v>0</v>
      </c>
      <c r="AG200" s="410">
        <f t="shared" si="103"/>
        <v>0</v>
      </c>
      <c r="AH200" s="410">
        <f t="shared" si="103"/>
        <v>0</v>
      </c>
      <c r="AI200" s="410">
        <f t="shared" si="103"/>
        <v>0</v>
      </c>
      <c r="AJ200" s="410">
        <f t="shared" si="103"/>
        <v>0</v>
      </c>
      <c r="AK200" s="410">
        <f t="shared" si="103"/>
        <v>0</v>
      </c>
      <c r="AL200" s="410">
        <f t="shared" si="103"/>
        <v>0</v>
      </c>
      <c r="AM200" s="499"/>
    </row>
    <row r="201" spans="2:39" ht="15.5" outlineLevel="1">
      <c r="B201" s="315"/>
      <c r="C201" s="305"/>
      <c r="D201" s="750"/>
      <c r="E201" s="750"/>
      <c r="F201" s="750"/>
      <c r="G201" s="750"/>
      <c r="H201" s="750"/>
      <c r="I201" s="750"/>
      <c r="J201" s="750"/>
      <c r="K201" s="750"/>
      <c r="L201" s="750"/>
      <c r="M201" s="750"/>
      <c r="N201" s="750"/>
      <c r="O201" s="750"/>
      <c r="P201" s="750"/>
      <c r="Q201" s="750"/>
      <c r="R201" s="750"/>
      <c r="S201" s="750"/>
      <c r="T201" s="750"/>
      <c r="U201" s="750"/>
      <c r="V201" s="750"/>
      <c r="W201" s="750"/>
      <c r="X201" s="750"/>
      <c r="Y201" s="768"/>
      <c r="Z201" s="769"/>
      <c r="AA201" s="769"/>
      <c r="AB201" s="769"/>
      <c r="AC201" s="769"/>
      <c r="AD201" s="769"/>
      <c r="AE201" s="769"/>
      <c r="AF201" s="417"/>
      <c r="AG201" s="417"/>
      <c r="AH201" s="417"/>
      <c r="AI201" s="417"/>
      <c r="AJ201" s="417"/>
      <c r="AK201" s="417"/>
      <c r="AL201" s="417"/>
      <c r="AM201" s="317"/>
    </row>
    <row r="202" spans="1:39" ht="15.5" outlineLevel="1">
      <c r="A202" s="504"/>
      <c r="B202" s="288" t="s">
        <v>10</v>
      </c>
      <c r="C202" s="289"/>
      <c r="D202" s="754"/>
      <c r="E202" s="754"/>
      <c r="F202" s="754"/>
      <c r="G202" s="754"/>
      <c r="H202" s="754"/>
      <c r="I202" s="754"/>
      <c r="J202" s="754"/>
      <c r="K202" s="754"/>
      <c r="L202" s="754"/>
      <c r="M202" s="754"/>
      <c r="N202" s="756"/>
      <c r="O202" s="754"/>
      <c r="P202" s="754"/>
      <c r="Q202" s="754"/>
      <c r="R202" s="754"/>
      <c r="S202" s="754"/>
      <c r="T202" s="754"/>
      <c r="U202" s="754"/>
      <c r="V202" s="754"/>
      <c r="W202" s="754"/>
      <c r="X202" s="754"/>
      <c r="Y202" s="763"/>
      <c r="Z202" s="763"/>
      <c r="AA202" s="763"/>
      <c r="AB202" s="763"/>
      <c r="AC202" s="763"/>
      <c r="AD202" s="763"/>
      <c r="AE202" s="763"/>
      <c r="AF202" s="413"/>
      <c r="AG202" s="413"/>
      <c r="AH202" s="413"/>
      <c r="AI202" s="413"/>
      <c r="AJ202" s="413"/>
      <c r="AK202" s="413"/>
      <c r="AL202" s="413"/>
      <c r="AM202" s="292"/>
    </row>
    <row r="203" spans="1:39" ht="15.5" outlineLevel="1">
      <c r="A203" s="503">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76"/>
      <c r="Z203" s="764"/>
      <c r="AA203" s="764"/>
      <c r="AB203" s="764"/>
      <c r="AC203" s="764"/>
      <c r="AD203" s="764"/>
      <c r="AE203" s="764"/>
      <c r="AF203" s="414"/>
      <c r="AG203" s="414"/>
      <c r="AH203" s="414"/>
      <c r="AI203" s="414"/>
      <c r="AJ203" s="414"/>
      <c r="AK203" s="414"/>
      <c r="AL203" s="414"/>
      <c r="AM203" s="296">
        <f>SUM(Y203:AL203)</f>
        <v>0</v>
      </c>
    </row>
    <row r="204" spans="2: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60">
        <f>Y203</f>
        <v>0</v>
      </c>
      <c r="Z204" s="760">
        <f>Z203</f>
        <v>0</v>
      </c>
      <c r="AA204" s="760">
        <f t="shared" si="104" ref="AA204:AE204">AA203</f>
        <v>0</v>
      </c>
      <c r="AB204" s="760">
        <f t="shared" si="104"/>
        <v>0</v>
      </c>
      <c r="AC204" s="760">
        <f t="shared" si="104"/>
        <v>0</v>
      </c>
      <c r="AD204" s="760">
        <f t="shared" si="104"/>
        <v>0</v>
      </c>
      <c r="AE204" s="760">
        <f t="shared" si="104"/>
        <v>0</v>
      </c>
      <c r="AF204" s="410">
        <f t="shared" si="105" ref="AF204:AL204">AF203</f>
        <v>0</v>
      </c>
      <c r="AG204" s="410">
        <f t="shared" si="105"/>
        <v>0</v>
      </c>
      <c r="AH204" s="410">
        <f t="shared" si="105"/>
        <v>0</v>
      </c>
      <c r="AI204" s="410">
        <f t="shared" si="105"/>
        <v>0</v>
      </c>
      <c r="AJ204" s="410">
        <f t="shared" si="105"/>
        <v>0</v>
      </c>
      <c r="AK204" s="410">
        <f t="shared" si="105"/>
        <v>0</v>
      </c>
      <c r="AL204" s="410">
        <f t="shared" si="105"/>
        <v>0</v>
      </c>
      <c r="AM204" s="499"/>
    </row>
    <row r="205" spans="1:39" ht="15.5" outlineLevel="1">
      <c r="A205" s="506"/>
      <c r="B205" s="315"/>
      <c r="C205" s="305"/>
      <c r="D205" s="750"/>
      <c r="E205" s="750"/>
      <c r="F205" s="750"/>
      <c r="G205" s="750"/>
      <c r="H205" s="750"/>
      <c r="I205" s="750"/>
      <c r="J205" s="750"/>
      <c r="K205" s="750"/>
      <c r="L205" s="750"/>
      <c r="M205" s="750"/>
      <c r="N205" s="750"/>
      <c r="O205" s="750"/>
      <c r="P205" s="750"/>
      <c r="Q205" s="750"/>
      <c r="R205" s="750"/>
      <c r="S205" s="750"/>
      <c r="T205" s="750"/>
      <c r="U205" s="750"/>
      <c r="V205" s="750"/>
      <c r="W205" s="750"/>
      <c r="X205" s="750"/>
      <c r="Y205" s="761"/>
      <c r="Z205" s="770"/>
      <c r="AA205" s="770"/>
      <c r="AB205" s="770"/>
      <c r="AC205" s="770"/>
      <c r="AD205" s="770"/>
      <c r="AE205" s="770"/>
      <c r="AF205" s="418"/>
      <c r="AG205" s="418"/>
      <c r="AH205" s="418"/>
      <c r="AI205" s="418"/>
      <c r="AJ205" s="418"/>
      <c r="AK205" s="418"/>
      <c r="AL205" s="418"/>
      <c r="AM205" s="306"/>
    </row>
    <row r="206" spans="1:39" ht="15.5" outlineLevel="1">
      <c r="A206" s="503">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59"/>
      <c r="Z206" s="764"/>
      <c r="AA206" s="764"/>
      <c r="AB206" s="764"/>
      <c r="AC206" s="764"/>
      <c r="AD206" s="764"/>
      <c r="AE206" s="764"/>
      <c r="AF206" s="414"/>
      <c r="AG206" s="414"/>
      <c r="AH206" s="414"/>
      <c r="AI206" s="414"/>
      <c r="AJ206" s="414"/>
      <c r="AK206" s="414"/>
      <c r="AL206" s="414"/>
      <c r="AM206" s="296">
        <f>SUM(Y206:AL206)</f>
        <v>0</v>
      </c>
    </row>
    <row r="207" spans="2: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60">
        <f>Y206</f>
        <v>0</v>
      </c>
      <c r="Z207" s="760">
        <f>Z206</f>
        <v>0</v>
      </c>
      <c r="AA207" s="760">
        <f t="shared" si="106" ref="AA207:AE207">AA206</f>
        <v>0</v>
      </c>
      <c r="AB207" s="760">
        <f t="shared" si="106"/>
        <v>0</v>
      </c>
      <c r="AC207" s="760">
        <f t="shared" si="106"/>
        <v>0</v>
      </c>
      <c r="AD207" s="760">
        <f t="shared" si="106"/>
        <v>0</v>
      </c>
      <c r="AE207" s="760">
        <f t="shared" si="106"/>
        <v>0</v>
      </c>
      <c r="AF207" s="410">
        <f t="shared" si="107" ref="AF207:AL207">AF206</f>
        <v>0</v>
      </c>
      <c r="AG207" s="410">
        <f t="shared" si="107"/>
        <v>0</v>
      </c>
      <c r="AH207" s="410">
        <f t="shared" si="107"/>
        <v>0</v>
      </c>
      <c r="AI207" s="410">
        <f t="shared" si="107"/>
        <v>0</v>
      </c>
      <c r="AJ207" s="410">
        <f t="shared" si="107"/>
        <v>0</v>
      </c>
      <c r="AK207" s="410">
        <f t="shared" si="107"/>
        <v>0</v>
      </c>
      <c r="AL207" s="410">
        <f t="shared" si="107"/>
        <v>0</v>
      </c>
      <c r="AM207" s="499"/>
    </row>
    <row r="208" spans="2:39" ht="15.5" outlineLevel="1">
      <c r="B208" s="315"/>
      <c r="C208" s="305"/>
      <c r="D208" s="750"/>
      <c r="E208" s="750"/>
      <c r="F208" s="750"/>
      <c r="G208" s="750"/>
      <c r="H208" s="750"/>
      <c r="I208" s="750"/>
      <c r="J208" s="750"/>
      <c r="K208" s="750"/>
      <c r="L208" s="750"/>
      <c r="M208" s="750"/>
      <c r="N208" s="750"/>
      <c r="O208" s="750"/>
      <c r="P208" s="750"/>
      <c r="Q208" s="750"/>
      <c r="R208" s="750"/>
      <c r="S208" s="750"/>
      <c r="T208" s="750"/>
      <c r="U208" s="750"/>
      <c r="V208" s="750"/>
      <c r="W208" s="750"/>
      <c r="X208" s="750"/>
      <c r="Y208" s="771"/>
      <c r="Z208" s="771"/>
      <c r="AA208" s="761"/>
      <c r="AB208" s="761"/>
      <c r="AC208" s="761"/>
      <c r="AD208" s="761"/>
      <c r="AE208" s="761"/>
      <c r="AF208" s="411"/>
      <c r="AG208" s="411"/>
      <c r="AH208" s="411"/>
      <c r="AI208" s="411"/>
      <c r="AJ208" s="411"/>
      <c r="AK208" s="411"/>
      <c r="AL208" s="411"/>
      <c r="AM208" s="306"/>
    </row>
    <row r="209" spans="1:39" ht="15.5" outlineLevel="1">
      <c r="A209" s="503">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759"/>
      <c r="Z209" s="764"/>
      <c r="AA209" s="764"/>
      <c r="AB209" s="764"/>
      <c r="AC209" s="764"/>
      <c r="AD209" s="764"/>
      <c r="AE209" s="764"/>
      <c r="AF209" s="414"/>
      <c r="AG209" s="414"/>
      <c r="AH209" s="414"/>
      <c r="AI209" s="414"/>
      <c r="AJ209" s="414"/>
      <c r="AK209" s="414"/>
      <c r="AL209" s="414"/>
      <c r="AM209" s="296">
        <f>SUM(Y209:AL209)</f>
        <v>0</v>
      </c>
    </row>
    <row r="210" spans="2: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60">
        <f>Y209</f>
        <v>0</v>
      </c>
      <c r="Z210" s="760">
        <f>Z209</f>
        <v>0</v>
      </c>
      <c r="AA210" s="760">
        <f t="shared" si="108" ref="AA210:AE210">AA209</f>
        <v>0</v>
      </c>
      <c r="AB210" s="760">
        <f t="shared" si="108"/>
        <v>0</v>
      </c>
      <c r="AC210" s="760">
        <f t="shared" si="108"/>
        <v>0</v>
      </c>
      <c r="AD210" s="760">
        <f t="shared" si="108"/>
        <v>0</v>
      </c>
      <c r="AE210" s="760">
        <f t="shared" si="108"/>
        <v>0</v>
      </c>
      <c r="AF210" s="410">
        <f t="shared" si="109" ref="AF210:AL210">AF209</f>
        <v>0</v>
      </c>
      <c r="AG210" s="410">
        <f t="shared" si="109"/>
        <v>0</v>
      </c>
      <c r="AH210" s="410">
        <f t="shared" si="109"/>
        <v>0</v>
      </c>
      <c r="AI210" s="410">
        <f t="shared" si="109"/>
        <v>0</v>
      </c>
      <c r="AJ210" s="410">
        <f t="shared" si="109"/>
        <v>0</v>
      </c>
      <c r="AK210" s="410">
        <f t="shared" si="109"/>
        <v>0</v>
      </c>
      <c r="AL210" s="410">
        <f t="shared" si="109"/>
        <v>0</v>
      </c>
      <c r="AM210" s="499"/>
    </row>
    <row r="211" spans="2:39" ht="15.5" outlineLevel="1">
      <c r="B211" s="315"/>
      <c r="C211" s="305"/>
      <c r="D211" s="750"/>
      <c r="E211" s="750"/>
      <c r="F211" s="750"/>
      <c r="G211" s="750"/>
      <c r="H211" s="750"/>
      <c r="I211" s="750"/>
      <c r="J211" s="750"/>
      <c r="K211" s="750"/>
      <c r="L211" s="750"/>
      <c r="M211" s="750"/>
      <c r="N211" s="757"/>
      <c r="O211" s="750"/>
      <c r="P211" s="750"/>
      <c r="Q211" s="750"/>
      <c r="R211" s="750"/>
      <c r="S211" s="750"/>
      <c r="T211" s="750"/>
      <c r="U211" s="750"/>
      <c r="V211" s="750"/>
      <c r="W211" s="750"/>
      <c r="X211" s="750"/>
      <c r="Y211" s="761"/>
      <c r="Z211" s="761"/>
      <c r="AA211" s="761"/>
      <c r="AB211" s="761"/>
      <c r="AC211" s="761"/>
      <c r="AD211" s="761"/>
      <c r="AE211" s="761"/>
      <c r="AF211" s="411"/>
      <c r="AG211" s="411"/>
      <c r="AH211" s="411"/>
      <c r="AI211" s="411"/>
      <c r="AJ211" s="411"/>
      <c r="AK211" s="411"/>
      <c r="AL211" s="411"/>
      <c r="AM211" s="306"/>
    </row>
    <row r="212" spans="1:39" ht="15.5" outlineLevel="1">
      <c r="A212" s="503">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59"/>
      <c r="Z212" s="764"/>
      <c r="AA212" s="764"/>
      <c r="AB212" s="764"/>
      <c r="AC212" s="764"/>
      <c r="AD212" s="764"/>
      <c r="AE212" s="764"/>
      <c r="AF212" s="414"/>
      <c r="AG212" s="414"/>
      <c r="AH212" s="414"/>
      <c r="AI212" s="414"/>
      <c r="AJ212" s="414"/>
      <c r="AK212" s="414"/>
      <c r="AL212" s="414"/>
      <c r="AM212" s="296">
        <f>SUM(Y212:AL212)</f>
        <v>0</v>
      </c>
    </row>
    <row r="213" spans="2: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60">
        <f>Y212</f>
        <v>0</v>
      </c>
      <c r="Z213" s="760">
        <f>Z212</f>
        <v>0</v>
      </c>
      <c r="AA213" s="760">
        <f t="shared" si="110" ref="AA213:AE213">AA212</f>
        <v>0</v>
      </c>
      <c r="AB213" s="760">
        <f t="shared" si="110"/>
        <v>0</v>
      </c>
      <c r="AC213" s="760">
        <f t="shared" si="110"/>
        <v>0</v>
      </c>
      <c r="AD213" s="760">
        <f t="shared" si="110"/>
        <v>0</v>
      </c>
      <c r="AE213" s="760">
        <f t="shared" si="110"/>
        <v>0</v>
      </c>
      <c r="AF213" s="410">
        <f t="shared" si="111" ref="AF213:AL213">AF212</f>
        <v>0</v>
      </c>
      <c r="AG213" s="410">
        <f t="shared" si="111"/>
        <v>0</v>
      </c>
      <c r="AH213" s="410">
        <f t="shared" si="111"/>
        <v>0</v>
      </c>
      <c r="AI213" s="410">
        <f t="shared" si="111"/>
        <v>0</v>
      </c>
      <c r="AJ213" s="410">
        <f t="shared" si="111"/>
        <v>0</v>
      </c>
      <c r="AK213" s="410">
        <f t="shared" si="111"/>
        <v>0</v>
      </c>
      <c r="AL213" s="410">
        <f t="shared" si="111"/>
        <v>0</v>
      </c>
      <c r="AM213" s="499"/>
    </row>
    <row r="214" spans="2:39" ht="15.5" outlineLevel="1">
      <c r="B214" s="315"/>
      <c r="C214" s="305"/>
      <c r="D214" s="750"/>
      <c r="E214" s="750"/>
      <c r="F214" s="750"/>
      <c r="G214" s="750"/>
      <c r="H214" s="750"/>
      <c r="I214" s="750"/>
      <c r="J214" s="750"/>
      <c r="K214" s="750"/>
      <c r="L214" s="750"/>
      <c r="M214" s="750"/>
      <c r="N214" s="750"/>
      <c r="O214" s="750"/>
      <c r="P214" s="750"/>
      <c r="Q214" s="750"/>
      <c r="R214" s="750"/>
      <c r="S214" s="750"/>
      <c r="T214" s="750"/>
      <c r="U214" s="750"/>
      <c r="V214" s="750"/>
      <c r="W214" s="750"/>
      <c r="X214" s="750"/>
      <c r="Y214" s="771"/>
      <c r="Z214" s="761"/>
      <c r="AA214" s="761"/>
      <c r="AB214" s="761"/>
      <c r="AC214" s="761"/>
      <c r="AD214" s="761"/>
      <c r="AE214" s="761"/>
      <c r="AF214" s="411"/>
      <c r="AG214" s="411"/>
      <c r="AH214" s="411"/>
      <c r="AI214" s="411"/>
      <c r="AJ214" s="411"/>
      <c r="AK214" s="411"/>
      <c r="AL214" s="411"/>
      <c r="AM214" s="306"/>
    </row>
    <row r="215" spans="1:39" ht="15.5" outlineLevel="1">
      <c r="A215" s="503">
        <v>22</v>
      </c>
      <c r="B215" s="315" t="s">
        <v>9</v>
      </c>
      <c r="C215" s="291" t="s">
        <v>25</v>
      </c>
      <c r="D215" s="295"/>
      <c r="E215" s="295"/>
      <c r="F215" s="295"/>
      <c r="G215" s="295"/>
      <c r="H215" s="295"/>
      <c r="I215" s="295"/>
      <c r="J215" s="295"/>
      <c r="K215" s="295"/>
      <c r="L215" s="295"/>
      <c r="M215" s="295"/>
      <c r="N215" s="750"/>
      <c r="O215" s="295"/>
      <c r="P215" s="295"/>
      <c r="Q215" s="295"/>
      <c r="R215" s="295"/>
      <c r="S215" s="295"/>
      <c r="T215" s="295"/>
      <c r="U215" s="295"/>
      <c r="V215" s="295"/>
      <c r="W215" s="295"/>
      <c r="X215" s="295"/>
      <c r="Y215" s="759"/>
      <c r="Z215" s="764"/>
      <c r="AA215" s="764"/>
      <c r="AB215" s="764"/>
      <c r="AC215" s="764"/>
      <c r="AD215" s="764"/>
      <c r="AE215" s="764"/>
      <c r="AF215" s="414"/>
      <c r="AG215" s="414"/>
      <c r="AH215" s="414"/>
      <c r="AI215" s="414"/>
      <c r="AJ215" s="414"/>
      <c r="AK215" s="414"/>
      <c r="AL215" s="414"/>
      <c r="AM215" s="296">
        <f>SUM(Y215:AL215)</f>
        <v>0</v>
      </c>
    </row>
    <row r="216" spans="2:39" ht="15.5" outlineLevel="1">
      <c r="B216" s="294" t="s">
        <v>244</v>
      </c>
      <c r="C216" s="291" t="s">
        <v>163</v>
      </c>
      <c r="D216" s="295"/>
      <c r="E216" s="295"/>
      <c r="F216" s="295"/>
      <c r="G216" s="295"/>
      <c r="H216" s="295"/>
      <c r="I216" s="295"/>
      <c r="J216" s="295"/>
      <c r="K216" s="295"/>
      <c r="L216" s="295"/>
      <c r="M216" s="295"/>
      <c r="N216" s="750"/>
      <c r="O216" s="295"/>
      <c r="P216" s="295"/>
      <c r="Q216" s="295"/>
      <c r="R216" s="295"/>
      <c r="S216" s="295"/>
      <c r="T216" s="295"/>
      <c r="U216" s="295"/>
      <c r="V216" s="295"/>
      <c r="W216" s="295"/>
      <c r="X216" s="295"/>
      <c r="Y216" s="760">
        <f>Y215</f>
        <v>0</v>
      </c>
      <c r="Z216" s="760">
        <f>Z215</f>
        <v>0</v>
      </c>
      <c r="AA216" s="760">
        <f t="shared" si="112" ref="AA216:AE216">AA215</f>
        <v>0</v>
      </c>
      <c r="AB216" s="760">
        <f t="shared" si="112"/>
        <v>0</v>
      </c>
      <c r="AC216" s="760">
        <f t="shared" si="112"/>
        <v>0</v>
      </c>
      <c r="AD216" s="760">
        <f t="shared" si="112"/>
        <v>0</v>
      </c>
      <c r="AE216" s="760">
        <f t="shared" si="112"/>
        <v>0</v>
      </c>
      <c r="AF216" s="410">
        <f t="shared" si="113" ref="AF216:AL216">AF215</f>
        <v>0</v>
      </c>
      <c r="AG216" s="410">
        <f t="shared" si="113"/>
        <v>0</v>
      </c>
      <c r="AH216" s="410">
        <f t="shared" si="113"/>
        <v>0</v>
      </c>
      <c r="AI216" s="410">
        <f t="shared" si="113"/>
        <v>0</v>
      </c>
      <c r="AJ216" s="410">
        <f t="shared" si="113"/>
        <v>0</v>
      </c>
      <c r="AK216" s="410">
        <f t="shared" si="113"/>
        <v>0</v>
      </c>
      <c r="AL216" s="410">
        <f t="shared" si="113"/>
        <v>0</v>
      </c>
      <c r="AM216" s="499"/>
    </row>
    <row r="217" spans="2:39" ht="15.5" outlineLevel="1">
      <c r="B217" s="315"/>
      <c r="C217" s="305"/>
      <c r="D217" s="750"/>
      <c r="E217" s="750"/>
      <c r="F217" s="750"/>
      <c r="G217" s="750"/>
      <c r="H217" s="750"/>
      <c r="I217" s="750"/>
      <c r="J217" s="750"/>
      <c r="K217" s="750"/>
      <c r="L217" s="750"/>
      <c r="M217" s="750"/>
      <c r="N217" s="750"/>
      <c r="O217" s="750"/>
      <c r="P217" s="750"/>
      <c r="Q217" s="750"/>
      <c r="R217" s="750"/>
      <c r="S217" s="750"/>
      <c r="T217" s="750"/>
      <c r="U217" s="750"/>
      <c r="V217" s="750"/>
      <c r="W217" s="750"/>
      <c r="X217" s="750"/>
      <c r="Y217" s="761"/>
      <c r="Z217" s="761"/>
      <c r="AA217" s="761"/>
      <c r="AB217" s="761"/>
      <c r="AC217" s="761"/>
      <c r="AD217" s="761"/>
      <c r="AE217" s="761"/>
      <c r="AF217" s="411"/>
      <c r="AG217" s="411"/>
      <c r="AH217" s="411"/>
      <c r="AI217" s="411"/>
      <c r="AJ217" s="411"/>
      <c r="AK217" s="411"/>
      <c r="AL217" s="411"/>
      <c r="AM217" s="306"/>
    </row>
    <row r="218" spans="1:39" ht="15.5" outlineLevel="1">
      <c r="A218" s="504"/>
      <c r="B218" s="288" t="s">
        <v>14</v>
      </c>
      <c r="C218" s="289"/>
      <c r="D218" s="756"/>
      <c r="E218" s="756"/>
      <c r="F218" s="756"/>
      <c r="G218" s="756"/>
      <c r="H218" s="756"/>
      <c r="I218" s="756"/>
      <c r="J218" s="756"/>
      <c r="K218" s="756"/>
      <c r="L218" s="756"/>
      <c r="M218" s="756"/>
      <c r="N218" s="756"/>
      <c r="O218" s="756"/>
      <c r="P218" s="756"/>
      <c r="Q218" s="756"/>
      <c r="R218" s="756"/>
      <c r="S218" s="756"/>
      <c r="T218" s="756"/>
      <c r="U218" s="756"/>
      <c r="V218" s="756"/>
      <c r="W218" s="756"/>
      <c r="X218" s="756"/>
      <c r="Y218" s="763"/>
      <c r="Z218" s="763"/>
      <c r="AA218" s="763"/>
      <c r="AB218" s="763"/>
      <c r="AC218" s="763"/>
      <c r="AD218" s="763"/>
      <c r="AE218" s="763"/>
      <c r="AF218" s="413"/>
      <c r="AG218" s="413"/>
      <c r="AH218" s="413"/>
      <c r="AI218" s="413"/>
      <c r="AJ218" s="413"/>
      <c r="AK218" s="413"/>
      <c r="AL218" s="413"/>
      <c r="AM218" s="292"/>
    </row>
    <row r="219" spans="1:39" ht="15.5" outlineLevel="1">
      <c r="A219" s="503">
        <v>23</v>
      </c>
      <c r="B219" s="315" t="s">
        <v>14</v>
      </c>
      <c r="C219" s="291" t="s">
        <v>25</v>
      </c>
      <c r="D219" s="295"/>
      <c r="E219" s="295"/>
      <c r="F219" s="295"/>
      <c r="G219" s="295"/>
      <c r="H219" s="295"/>
      <c r="I219" s="295"/>
      <c r="J219" s="295"/>
      <c r="K219" s="295"/>
      <c r="L219" s="295"/>
      <c r="M219" s="295"/>
      <c r="N219" s="750"/>
      <c r="O219" s="295"/>
      <c r="P219" s="295"/>
      <c r="Q219" s="295"/>
      <c r="R219" s="295"/>
      <c r="S219" s="295"/>
      <c r="T219" s="295"/>
      <c r="U219" s="295"/>
      <c r="V219" s="295"/>
      <c r="W219" s="295"/>
      <c r="X219" s="295"/>
      <c r="Y219" s="777"/>
      <c r="Z219" s="759"/>
      <c r="AA219" s="759"/>
      <c r="AB219" s="759"/>
      <c r="AC219" s="759"/>
      <c r="AD219" s="759"/>
      <c r="AE219" s="759"/>
      <c r="AF219" s="409"/>
      <c r="AG219" s="409"/>
      <c r="AH219" s="409"/>
      <c r="AI219" s="409"/>
      <c r="AJ219" s="409"/>
      <c r="AK219" s="409"/>
      <c r="AL219" s="409"/>
      <c r="AM219" s="296">
        <f>SUM(Y219:AL219)</f>
        <v>0</v>
      </c>
    </row>
    <row r="220" spans="2:39" ht="15.5" outlineLevel="1">
      <c r="B220" s="294" t="s">
        <v>244</v>
      </c>
      <c r="C220" s="291" t="s">
        <v>163</v>
      </c>
      <c r="D220" s="295"/>
      <c r="E220" s="295"/>
      <c r="F220" s="295"/>
      <c r="G220" s="295"/>
      <c r="H220" s="295"/>
      <c r="I220" s="295"/>
      <c r="J220" s="295"/>
      <c r="K220" s="295"/>
      <c r="L220" s="295"/>
      <c r="M220" s="295"/>
      <c r="N220" s="751"/>
      <c r="O220" s="295"/>
      <c r="P220" s="295"/>
      <c r="Q220" s="295"/>
      <c r="R220" s="295"/>
      <c r="S220" s="295"/>
      <c r="T220" s="295"/>
      <c r="U220" s="295"/>
      <c r="V220" s="295"/>
      <c r="W220" s="295"/>
      <c r="X220" s="295"/>
      <c r="Y220" s="760">
        <f>Y219</f>
        <v>0</v>
      </c>
      <c r="Z220" s="760">
        <f>Z219</f>
        <v>0</v>
      </c>
      <c r="AA220" s="760">
        <f t="shared" si="114" ref="AA220:AE220">AA219</f>
        <v>0</v>
      </c>
      <c r="AB220" s="760">
        <f t="shared" si="114"/>
        <v>0</v>
      </c>
      <c r="AC220" s="760">
        <f t="shared" si="114"/>
        <v>0</v>
      </c>
      <c r="AD220" s="760">
        <f t="shared" si="114"/>
        <v>0</v>
      </c>
      <c r="AE220" s="760">
        <f t="shared" si="114"/>
        <v>0</v>
      </c>
      <c r="AF220" s="410">
        <f t="shared" si="115" ref="AF220:AL220">AF219</f>
        <v>0</v>
      </c>
      <c r="AG220" s="410">
        <f t="shared" si="115"/>
        <v>0</v>
      </c>
      <c r="AH220" s="410">
        <f t="shared" si="115"/>
        <v>0</v>
      </c>
      <c r="AI220" s="410">
        <f t="shared" si="115"/>
        <v>0</v>
      </c>
      <c r="AJ220" s="410">
        <f t="shared" si="115"/>
        <v>0</v>
      </c>
      <c r="AK220" s="410">
        <f t="shared" si="115"/>
        <v>0</v>
      </c>
      <c r="AL220" s="410">
        <f t="shared" si="115"/>
        <v>0</v>
      </c>
      <c r="AM220" s="499"/>
    </row>
    <row r="221" spans="2:39" ht="15.5" outlineLevel="1">
      <c r="B221" s="315"/>
      <c r="C221" s="305"/>
      <c r="D221" s="750"/>
      <c r="E221" s="750"/>
      <c r="F221" s="750"/>
      <c r="G221" s="750"/>
      <c r="H221" s="750"/>
      <c r="I221" s="750"/>
      <c r="J221" s="750"/>
      <c r="K221" s="750"/>
      <c r="L221" s="750"/>
      <c r="M221" s="750"/>
      <c r="N221" s="750"/>
      <c r="O221" s="750"/>
      <c r="P221" s="750"/>
      <c r="Q221" s="750"/>
      <c r="R221" s="750"/>
      <c r="S221" s="750"/>
      <c r="T221" s="750"/>
      <c r="U221" s="750"/>
      <c r="V221" s="750"/>
      <c r="W221" s="750"/>
      <c r="X221" s="750"/>
      <c r="Y221" s="761"/>
      <c r="Z221" s="761"/>
      <c r="AA221" s="761"/>
      <c r="AB221" s="761"/>
      <c r="AC221" s="761"/>
      <c r="AD221" s="761"/>
      <c r="AE221" s="761"/>
      <c r="AF221" s="411"/>
      <c r="AG221" s="411"/>
      <c r="AH221" s="411"/>
      <c r="AI221" s="411"/>
      <c r="AJ221" s="411"/>
      <c r="AK221" s="411"/>
      <c r="AL221" s="411"/>
      <c r="AM221" s="306"/>
    </row>
    <row r="222" spans="1:39" s="293" customFormat="1" ht="15.5" outlineLevel="1">
      <c r="A222" s="504"/>
      <c r="B222" s="288" t="s">
        <v>487</v>
      </c>
      <c r="C222" s="289"/>
      <c r="D222" s="756"/>
      <c r="E222" s="756"/>
      <c r="F222" s="756"/>
      <c r="G222" s="756"/>
      <c r="H222" s="756"/>
      <c r="I222" s="756"/>
      <c r="J222" s="756"/>
      <c r="K222" s="756"/>
      <c r="L222" s="756"/>
      <c r="M222" s="756"/>
      <c r="N222" s="756"/>
      <c r="O222" s="756"/>
      <c r="P222" s="756"/>
      <c r="Q222" s="756"/>
      <c r="R222" s="756"/>
      <c r="S222" s="756"/>
      <c r="T222" s="756"/>
      <c r="U222" s="756"/>
      <c r="V222" s="756"/>
      <c r="W222" s="756"/>
      <c r="X222" s="756"/>
      <c r="Y222" s="763"/>
      <c r="Z222" s="763"/>
      <c r="AA222" s="763"/>
      <c r="AB222" s="763"/>
      <c r="AC222" s="763"/>
      <c r="AD222" s="763"/>
      <c r="AE222" s="763"/>
      <c r="AF222" s="413"/>
      <c r="AG222" s="413"/>
      <c r="AH222" s="413"/>
      <c r="AI222" s="413"/>
      <c r="AJ222" s="413"/>
      <c r="AK222" s="413"/>
      <c r="AL222" s="413"/>
      <c r="AM222" s="292"/>
    </row>
    <row r="223" spans="1:39" s="283" customFormat="1" ht="15.5" outlineLevel="1">
      <c r="A223" s="503">
        <v>24</v>
      </c>
      <c r="B223" s="315" t="s">
        <v>14</v>
      </c>
      <c r="C223" s="291" t="s">
        <v>25</v>
      </c>
      <c r="D223" s="295"/>
      <c r="E223" s="295"/>
      <c r="F223" s="295"/>
      <c r="G223" s="295"/>
      <c r="H223" s="295"/>
      <c r="I223" s="295"/>
      <c r="J223" s="295"/>
      <c r="K223" s="295"/>
      <c r="L223" s="295"/>
      <c r="M223" s="295"/>
      <c r="N223" s="750"/>
      <c r="O223" s="295"/>
      <c r="P223" s="295"/>
      <c r="Q223" s="295"/>
      <c r="R223" s="295"/>
      <c r="S223" s="295"/>
      <c r="T223" s="295"/>
      <c r="U223" s="295"/>
      <c r="V223" s="295"/>
      <c r="W223" s="295"/>
      <c r="X223" s="295"/>
      <c r="Y223" s="759"/>
      <c r="Z223" s="759"/>
      <c r="AA223" s="759"/>
      <c r="AB223" s="759"/>
      <c r="AC223" s="759"/>
      <c r="AD223" s="759"/>
      <c r="AE223" s="759"/>
      <c r="AF223" s="409"/>
      <c r="AG223" s="409"/>
      <c r="AH223" s="409"/>
      <c r="AI223" s="409"/>
      <c r="AJ223" s="409"/>
      <c r="AK223" s="409"/>
      <c r="AL223" s="409"/>
      <c r="AM223" s="296">
        <f>SUM(Y223:AL223)</f>
        <v>0</v>
      </c>
    </row>
    <row r="224" spans="1:39" s="283" customFormat="1" ht="15.5" outlineLevel="1">
      <c r="A224" s="503"/>
      <c r="B224" s="315" t="s">
        <v>244</v>
      </c>
      <c r="C224" s="291" t="s">
        <v>163</v>
      </c>
      <c r="D224" s="295"/>
      <c r="E224" s="295"/>
      <c r="F224" s="295"/>
      <c r="G224" s="295"/>
      <c r="H224" s="295"/>
      <c r="I224" s="295"/>
      <c r="J224" s="295"/>
      <c r="K224" s="295"/>
      <c r="L224" s="295"/>
      <c r="M224" s="295"/>
      <c r="N224" s="751"/>
      <c r="O224" s="295"/>
      <c r="P224" s="295"/>
      <c r="Q224" s="295"/>
      <c r="R224" s="295"/>
      <c r="S224" s="295"/>
      <c r="T224" s="295"/>
      <c r="U224" s="295"/>
      <c r="V224" s="295"/>
      <c r="W224" s="295"/>
      <c r="X224" s="295"/>
      <c r="Y224" s="760">
        <f>Y223</f>
        <v>0</v>
      </c>
      <c r="Z224" s="760">
        <f>Z223</f>
        <v>0</v>
      </c>
      <c r="AA224" s="760">
        <f t="shared" si="116" ref="AA224:AE224">AA223</f>
        <v>0</v>
      </c>
      <c r="AB224" s="760">
        <f t="shared" si="116"/>
        <v>0</v>
      </c>
      <c r="AC224" s="760">
        <f t="shared" si="116"/>
        <v>0</v>
      </c>
      <c r="AD224" s="760">
        <f t="shared" si="116"/>
        <v>0</v>
      </c>
      <c r="AE224" s="760">
        <f t="shared" si="116"/>
        <v>0</v>
      </c>
      <c r="AF224" s="410">
        <f t="shared" si="117" ref="AF224:AL224">AF223</f>
        <v>0</v>
      </c>
      <c r="AG224" s="410">
        <f t="shared" si="117"/>
        <v>0</v>
      </c>
      <c r="AH224" s="410">
        <f t="shared" si="117"/>
        <v>0</v>
      </c>
      <c r="AI224" s="410">
        <f t="shared" si="117"/>
        <v>0</v>
      </c>
      <c r="AJ224" s="410">
        <f t="shared" si="117"/>
        <v>0</v>
      </c>
      <c r="AK224" s="410">
        <f t="shared" si="117"/>
        <v>0</v>
      </c>
      <c r="AL224" s="410">
        <f t="shared" si="117"/>
        <v>0</v>
      </c>
      <c r="AM224" s="499"/>
    </row>
    <row r="225" spans="1:39" s="283" customFormat="1" ht="15.5" outlineLevel="1">
      <c r="A225" s="503"/>
      <c r="B225" s="315"/>
      <c r="C225" s="305"/>
      <c r="D225" s="750"/>
      <c r="E225" s="750"/>
      <c r="F225" s="750"/>
      <c r="G225" s="750"/>
      <c r="H225" s="750"/>
      <c r="I225" s="750"/>
      <c r="J225" s="750"/>
      <c r="K225" s="750"/>
      <c r="L225" s="750"/>
      <c r="M225" s="750"/>
      <c r="N225" s="750"/>
      <c r="O225" s="750"/>
      <c r="P225" s="750"/>
      <c r="Q225" s="750"/>
      <c r="R225" s="750"/>
      <c r="S225" s="750"/>
      <c r="T225" s="750"/>
      <c r="U225" s="750"/>
      <c r="V225" s="750"/>
      <c r="W225" s="750"/>
      <c r="X225" s="750"/>
      <c r="Y225" s="761"/>
      <c r="Z225" s="761"/>
      <c r="AA225" s="761"/>
      <c r="AB225" s="761"/>
      <c r="AC225" s="761"/>
      <c r="AD225" s="761"/>
      <c r="AE225" s="761"/>
      <c r="AF225" s="411"/>
      <c r="AG225" s="411"/>
      <c r="AH225" s="411"/>
      <c r="AI225" s="411"/>
      <c r="AJ225" s="411"/>
      <c r="AK225" s="411"/>
      <c r="AL225" s="411"/>
      <c r="AM225" s="306"/>
    </row>
    <row r="226" spans="1:39" s="283" customFormat="1" ht="15.5" outlineLevel="1">
      <c r="A226" s="503">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764"/>
      <c r="Z226" s="764"/>
      <c r="AA226" s="764"/>
      <c r="AB226" s="764"/>
      <c r="AC226" s="764"/>
      <c r="AD226" s="764"/>
      <c r="AE226" s="764"/>
      <c r="AF226" s="414"/>
      <c r="AG226" s="414"/>
      <c r="AH226" s="414"/>
      <c r="AI226" s="414"/>
      <c r="AJ226" s="414"/>
      <c r="AK226" s="414"/>
      <c r="AL226" s="414"/>
      <c r="AM226" s="296">
        <f>SUM(Y226:AL226)</f>
        <v>0</v>
      </c>
    </row>
    <row r="227" spans="1:39" s="283" customFormat="1" ht="15.5" outlineLevel="1">
      <c r="A227" s="503"/>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60">
        <f>Y226</f>
        <v>0</v>
      </c>
      <c r="Z227" s="760">
        <f>Z226</f>
        <v>0</v>
      </c>
      <c r="AA227" s="760">
        <f t="shared" si="118" ref="AA227:AE227">AA226</f>
        <v>0</v>
      </c>
      <c r="AB227" s="760">
        <f t="shared" si="118"/>
        <v>0</v>
      </c>
      <c r="AC227" s="760">
        <f t="shared" si="118"/>
        <v>0</v>
      </c>
      <c r="AD227" s="760">
        <f t="shared" si="118"/>
        <v>0</v>
      </c>
      <c r="AE227" s="760">
        <f t="shared" si="118"/>
        <v>0</v>
      </c>
      <c r="AF227" s="410">
        <f t="shared" si="119" ref="AF227:AL227">AF226</f>
        <v>0</v>
      </c>
      <c r="AG227" s="410">
        <f t="shared" si="119"/>
        <v>0</v>
      </c>
      <c r="AH227" s="410">
        <f t="shared" si="119"/>
        <v>0</v>
      </c>
      <c r="AI227" s="410">
        <f t="shared" si="119"/>
        <v>0</v>
      </c>
      <c r="AJ227" s="410">
        <f t="shared" si="119"/>
        <v>0</v>
      </c>
      <c r="AK227" s="410">
        <f t="shared" si="119"/>
        <v>0</v>
      </c>
      <c r="AL227" s="410">
        <f t="shared" si="119"/>
        <v>0</v>
      </c>
      <c r="AM227" s="499"/>
    </row>
    <row r="228" spans="1:39" s="283" customFormat="1" ht="15.5" outlineLevel="1">
      <c r="A228" s="503"/>
      <c r="B228" s="314"/>
      <c r="C228" s="312"/>
      <c r="D228" s="750"/>
      <c r="E228" s="750"/>
      <c r="F228" s="750"/>
      <c r="G228" s="750"/>
      <c r="H228" s="750"/>
      <c r="I228" s="750"/>
      <c r="J228" s="750"/>
      <c r="K228" s="750"/>
      <c r="L228" s="750"/>
      <c r="M228" s="750"/>
      <c r="N228" s="750"/>
      <c r="O228" s="750"/>
      <c r="P228" s="750"/>
      <c r="Q228" s="750"/>
      <c r="R228" s="750"/>
      <c r="S228" s="750"/>
      <c r="T228" s="750"/>
      <c r="U228" s="750"/>
      <c r="V228" s="750"/>
      <c r="W228" s="750"/>
      <c r="X228" s="750"/>
      <c r="Y228" s="765"/>
      <c r="Z228" s="766"/>
      <c r="AA228" s="765"/>
      <c r="AB228" s="765"/>
      <c r="AC228" s="765"/>
      <c r="AD228" s="765"/>
      <c r="AE228" s="765"/>
      <c r="AF228" s="415"/>
      <c r="AG228" s="415"/>
      <c r="AH228" s="415"/>
      <c r="AI228" s="415"/>
      <c r="AJ228" s="415"/>
      <c r="AK228" s="415"/>
      <c r="AL228" s="415"/>
      <c r="AM228" s="313"/>
    </row>
    <row r="229" spans="1:39" ht="15.5" outlineLevel="1">
      <c r="A229" s="504"/>
      <c r="B229" s="288" t="s">
        <v>15</v>
      </c>
      <c r="C229" s="319"/>
      <c r="D229" s="756"/>
      <c r="E229" s="756"/>
      <c r="F229" s="756"/>
      <c r="G229" s="756"/>
      <c r="H229" s="756"/>
      <c r="I229" s="756"/>
      <c r="J229" s="756"/>
      <c r="K229" s="756"/>
      <c r="L229" s="756"/>
      <c r="M229" s="756"/>
      <c r="N229" s="750"/>
      <c r="O229" s="756"/>
      <c r="P229" s="756"/>
      <c r="Q229" s="756"/>
      <c r="R229" s="756"/>
      <c r="S229" s="756"/>
      <c r="T229" s="756"/>
      <c r="U229" s="756"/>
      <c r="V229" s="756"/>
      <c r="W229" s="756"/>
      <c r="X229" s="756"/>
      <c r="Y229" s="763"/>
      <c r="Z229" s="763"/>
      <c r="AA229" s="763"/>
      <c r="AB229" s="763"/>
      <c r="AC229" s="763"/>
      <c r="AD229" s="763"/>
      <c r="AE229" s="763"/>
      <c r="AF229" s="413"/>
      <c r="AG229" s="413"/>
      <c r="AH229" s="413"/>
      <c r="AI229" s="413"/>
      <c r="AJ229" s="413"/>
      <c r="AK229" s="413"/>
      <c r="AL229" s="413"/>
      <c r="AM229" s="292"/>
    </row>
    <row r="230" spans="1:39" ht="15.5" outlineLevel="1">
      <c r="A230" s="503">
        <v>26</v>
      </c>
      <c r="B230" s="320"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76"/>
      <c r="Z230" s="764"/>
      <c r="AA230" s="775"/>
      <c r="AB230" s="764"/>
      <c r="AC230" s="764"/>
      <c r="AD230" s="764"/>
      <c r="AE230" s="764"/>
      <c r="AF230" s="414"/>
      <c r="AG230" s="414"/>
      <c r="AH230" s="414"/>
      <c r="AI230" s="414"/>
      <c r="AJ230" s="414"/>
      <c r="AK230" s="414"/>
      <c r="AL230" s="414"/>
      <c r="AM230" s="296">
        <f>SUM(Y230:AL230)</f>
        <v>0</v>
      </c>
    </row>
    <row r="231" spans="2: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60">
        <f>Y230</f>
        <v>0</v>
      </c>
      <c r="Z231" s="760">
        <f>Z230</f>
        <v>0</v>
      </c>
      <c r="AA231" s="760">
        <f t="shared" si="120" ref="AA231:AE231">AA230</f>
        <v>0</v>
      </c>
      <c r="AB231" s="760">
        <f t="shared" si="120"/>
        <v>0</v>
      </c>
      <c r="AC231" s="760">
        <f t="shared" si="120"/>
        <v>0</v>
      </c>
      <c r="AD231" s="760">
        <f t="shared" si="120"/>
        <v>0</v>
      </c>
      <c r="AE231" s="760">
        <f t="shared" si="120"/>
        <v>0</v>
      </c>
      <c r="AF231" s="410">
        <f t="shared" si="121" ref="AF231:AL231">AF230</f>
        <v>0</v>
      </c>
      <c r="AG231" s="410">
        <f t="shared" si="121"/>
        <v>0</v>
      </c>
      <c r="AH231" s="410">
        <f t="shared" si="121"/>
        <v>0</v>
      </c>
      <c r="AI231" s="410">
        <f t="shared" si="121"/>
        <v>0</v>
      </c>
      <c r="AJ231" s="410">
        <f t="shared" si="121"/>
        <v>0</v>
      </c>
      <c r="AK231" s="410">
        <f t="shared" si="121"/>
        <v>0</v>
      </c>
      <c r="AL231" s="410">
        <f t="shared" si="121"/>
        <v>0</v>
      </c>
      <c r="AM231" s="499"/>
    </row>
    <row r="232" spans="1:39" ht="15.5" outlineLevel="1">
      <c r="A232" s="506"/>
      <c r="B232" s="321"/>
      <c r="C232" s="291"/>
      <c r="D232" s="750"/>
      <c r="E232" s="750"/>
      <c r="F232" s="750"/>
      <c r="G232" s="750"/>
      <c r="H232" s="750"/>
      <c r="I232" s="750"/>
      <c r="J232" s="750"/>
      <c r="K232" s="750"/>
      <c r="L232" s="750"/>
      <c r="M232" s="750"/>
      <c r="N232" s="750"/>
      <c r="O232" s="750"/>
      <c r="P232" s="750"/>
      <c r="Q232" s="750"/>
      <c r="R232" s="750"/>
      <c r="S232" s="750"/>
      <c r="T232" s="750"/>
      <c r="U232" s="750"/>
      <c r="V232" s="750"/>
      <c r="W232" s="750"/>
      <c r="X232" s="750"/>
      <c r="Y232" s="772"/>
      <c r="Z232" s="773"/>
      <c r="AA232" s="773"/>
      <c r="AB232" s="773"/>
      <c r="AC232" s="773"/>
      <c r="AD232" s="773"/>
      <c r="AE232" s="773"/>
      <c r="AF232" s="421"/>
      <c r="AG232" s="421"/>
      <c r="AH232" s="421"/>
      <c r="AI232" s="421"/>
      <c r="AJ232" s="421"/>
      <c r="AK232" s="421"/>
      <c r="AL232" s="421"/>
      <c r="AM232" s="297"/>
    </row>
    <row r="233" spans="1:39" ht="15.5" outlineLevel="1">
      <c r="A233" s="503">
        <v>27</v>
      </c>
      <c r="B233" s="320" t="s">
        <v>17</v>
      </c>
      <c r="C233" s="291" t="s">
        <v>25</v>
      </c>
      <c r="D233" s="295">
        <f>'7.  Persistence Report'!AR54</f>
        <v>599.36740550133084</v>
      </c>
      <c r="E233" s="295">
        <f>'7.  Persistence Report'!AS54</f>
        <v>599.36740550133084</v>
      </c>
      <c r="F233" s="295">
        <f>'7.  Persistence Report'!AT54</f>
        <v>599.36740550133084</v>
      </c>
      <c r="G233" s="295">
        <f>'7.  Persistence Report'!AU54</f>
        <v>599.36740550133084</v>
      </c>
      <c r="H233" s="295">
        <f>'7.  Persistence Report'!AV54</f>
        <v>599.36740550133084</v>
      </c>
      <c r="I233" s="295">
        <f>'7.  Persistence Report'!AW54</f>
        <v>599.36740550133084</v>
      </c>
      <c r="J233" s="295">
        <f>'7.  Persistence Report'!AX54</f>
        <v>599.36740550133084</v>
      </c>
      <c r="K233" s="295">
        <f>'7.  Persistence Report'!AY54</f>
        <v>599.36740550133084</v>
      </c>
      <c r="L233" s="295">
        <f>'7.  Persistence Report'!AZ54</f>
        <v>599.36740550133084</v>
      </c>
      <c r="M233" s="295">
        <f>'7.  Persistence Report'!BA54</f>
        <v>599.36740550133084</v>
      </c>
      <c r="N233" s="295">
        <v>12</v>
      </c>
      <c r="O233" s="295">
        <f>'7.  Persistence Report'!M54</f>
        <v>0.61864673722831787</v>
      </c>
      <c r="P233" s="295">
        <f>'7.  Persistence Report'!N54</f>
        <v>0.61864673722831787</v>
      </c>
      <c r="Q233" s="295">
        <f>'7.  Persistence Report'!O54</f>
        <v>0.61864673722831787</v>
      </c>
      <c r="R233" s="295">
        <f>'7.  Persistence Report'!P54</f>
        <v>0.61864673722831787</v>
      </c>
      <c r="S233" s="295">
        <f>'7.  Persistence Report'!Q54</f>
        <v>0.61864673722831787</v>
      </c>
      <c r="T233" s="295">
        <f>'7.  Persistence Report'!R54</f>
        <v>0.61864673722831787</v>
      </c>
      <c r="U233" s="295">
        <f>'7.  Persistence Report'!S54</f>
        <v>0.61864673722831787</v>
      </c>
      <c r="V233" s="295">
        <f>'7.  Persistence Report'!T54</f>
        <v>0.61864673722831787</v>
      </c>
      <c r="W233" s="295">
        <f>'7.  Persistence Report'!U54</f>
        <v>0.61864673722831787</v>
      </c>
      <c r="X233" s="295">
        <f>'7.  Persistence Report'!V54</f>
        <v>0.61864673722831787</v>
      </c>
      <c r="Y233" s="776"/>
      <c r="Z233" s="764"/>
      <c r="AA233" s="764"/>
      <c r="AB233" s="764">
        <v>1</v>
      </c>
      <c r="AC233" s="764"/>
      <c r="AD233" s="764"/>
      <c r="AE233" s="764"/>
      <c r="AF233" s="414"/>
      <c r="AG233" s="414"/>
      <c r="AH233" s="414"/>
      <c r="AI233" s="414"/>
      <c r="AJ233" s="414"/>
      <c r="AK233" s="414"/>
      <c r="AL233" s="414"/>
      <c r="AM233" s="296">
        <f>SUM(Y233:AL233)</f>
        <v>1</v>
      </c>
    </row>
    <row r="234" spans="2: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60">
        <f>Y233</f>
        <v>0</v>
      </c>
      <c r="Z234" s="760">
        <f>Z233</f>
        <v>0</v>
      </c>
      <c r="AA234" s="760">
        <f t="shared" si="122" ref="AA234:AE234">AA233</f>
        <v>0</v>
      </c>
      <c r="AB234" s="760">
        <f t="shared" si="122"/>
        <v>1</v>
      </c>
      <c r="AC234" s="760">
        <f t="shared" si="122"/>
        <v>0</v>
      </c>
      <c r="AD234" s="760">
        <f t="shared" si="122"/>
        <v>0</v>
      </c>
      <c r="AE234" s="760">
        <f t="shared" si="122"/>
        <v>0</v>
      </c>
      <c r="AF234" s="410">
        <f t="shared" si="123" ref="AF234:AL234">AF233</f>
        <v>0</v>
      </c>
      <c r="AG234" s="410">
        <f t="shared" si="123"/>
        <v>0</v>
      </c>
      <c r="AH234" s="410">
        <f t="shared" si="123"/>
        <v>0</v>
      </c>
      <c r="AI234" s="410">
        <f t="shared" si="123"/>
        <v>0</v>
      </c>
      <c r="AJ234" s="410">
        <f t="shared" si="123"/>
        <v>0</v>
      </c>
      <c r="AK234" s="410">
        <f t="shared" si="123"/>
        <v>0</v>
      </c>
      <c r="AL234" s="410">
        <f t="shared" si="123"/>
        <v>0</v>
      </c>
      <c r="AM234" s="499"/>
    </row>
    <row r="235" spans="1:39" ht="15.5" outlineLevel="1">
      <c r="A235" s="506"/>
      <c r="B235" s="322"/>
      <c r="C235" s="300"/>
      <c r="D235" s="750"/>
      <c r="E235" s="750"/>
      <c r="F235" s="750"/>
      <c r="G235" s="750"/>
      <c r="H235" s="750"/>
      <c r="I235" s="750"/>
      <c r="J235" s="750"/>
      <c r="K235" s="750"/>
      <c r="L235" s="750"/>
      <c r="M235" s="750"/>
      <c r="N235" s="758"/>
      <c r="O235" s="750"/>
      <c r="P235" s="750"/>
      <c r="Q235" s="750"/>
      <c r="R235" s="750"/>
      <c r="S235" s="750"/>
      <c r="T235" s="750"/>
      <c r="U235" s="750"/>
      <c r="V235" s="750"/>
      <c r="W235" s="750"/>
      <c r="X235" s="750"/>
      <c r="Y235" s="761"/>
      <c r="Z235" s="761"/>
      <c r="AA235" s="761"/>
      <c r="AB235" s="761"/>
      <c r="AC235" s="761"/>
      <c r="AD235" s="761"/>
      <c r="AE235" s="761"/>
      <c r="AF235" s="411"/>
      <c r="AG235" s="411"/>
      <c r="AH235" s="411"/>
      <c r="AI235" s="411"/>
      <c r="AJ235" s="411"/>
      <c r="AK235" s="411"/>
      <c r="AL235" s="411"/>
      <c r="AM235" s="306"/>
    </row>
    <row r="236" spans="1:39" ht="15.5" outlineLevel="1">
      <c r="A236" s="503">
        <v>28</v>
      </c>
      <c r="B236" s="320"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76"/>
      <c r="Z236" s="764"/>
      <c r="AA236" s="764"/>
      <c r="AB236" s="764"/>
      <c r="AC236" s="764"/>
      <c r="AD236" s="764"/>
      <c r="AE236" s="764"/>
      <c r="AF236" s="414"/>
      <c r="AG236" s="414"/>
      <c r="AH236" s="414"/>
      <c r="AI236" s="414"/>
      <c r="AJ236" s="414"/>
      <c r="AK236" s="414"/>
      <c r="AL236" s="414"/>
      <c r="AM236" s="296">
        <f>SUM(Y236:AL236)</f>
        <v>0</v>
      </c>
    </row>
    <row r="237" spans="2: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60">
        <f>Y236</f>
        <v>0</v>
      </c>
      <c r="Z237" s="760">
        <f>Z236</f>
        <v>0</v>
      </c>
      <c r="AA237" s="760">
        <f t="shared" si="124" ref="AA237:AE237">AA236</f>
        <v>0</v>
      </c>
      <c r="AB237" s="760">
        <f t="shared" si="124"/>
        <v>0</v>
      </c>
      <c r="AC237" s="760">
        <f t="shared" si="124"/>
        <v>0</v>
      </c>
      <c r="AD237" s="760">
        <f t="shared" si="124"/>
        <v>0</v>
      </c>
      <c r="AE237" s="760">
        <f t="shared" si="124"/>
        <v>0</v>
      </c>
      <c r="AF237" s="410">
        <f t="shared" si="125" ref="AF237:AL237">AF236</f>
        <v>0</v>
      </c>
      <c r="AG237" s="410">
        <f t="shared" si="125"/>
        <v>0</v>
      </c>
      <c r="AH237" s="410">
        <f t="shared" si="125"/>
        <v>0</v>
      </c>
      <c r="AI237" s="410">
        <f t="shared" si="125"/>
        <v>0</v>
      </c>
      <c r="AJ237" s="410">
        <f t="shared" si="125"/>
        <v>0</v>
      </c>
      <c r="AK237" s="410">
        <f t="shared" si="125"/>
        <v>0</v>
      </c>
      <c r="AL237" s="410">
        <f t="shared" si="125"/>
        <v>0</v>
      </c>
      <c r="AM237" s="499"/>
    </row>
    <row r="238" spans="1:39" ht="15.5" outlineLevel="1">
      <c r="A238" s="506"/>
      <c r="B238" s="321"/>
      <c r="C238" s="291"/>
      <c r="D238" s="750"/>
      <c r="E238" s="750"/>
      <c r="F238" s="750"/>
      <c r="G238" s="750"/>
      <c r="H238" s="750"/>
      <c r="I238" s="750"/>
      <c r="J238" s="750"/>
      <c r="K238" s="750"/>
      <c r="L238" s="750"/>
      <c r="M238" s="750"/>
      <c r="N238" s="750"/>
      <c r="O238" s="750"/>
      <c r="P238" s="750"/>
      <c r="Q238" s="750"/>
      <c r="R238" s="750"/>
      <c r="S238" s="750"/>
      <c r="T238" s="750"/>
      <c r="U238" s="750"/>
      <c r="V238" s="750"/>
      <c r="W238" s="750"/>
      <c r="X238" s="750"/>
      <c r="Y238" s="761"/>
      <c r="Z238" s="761"/>
      <c r="AA238" s="761"/>
      <c r="AB238" s="761"/>
      <c r="AC238" s="761"/>
      <c r="AD238" s="761"/>
      <c r="AE238" s="761"/>
      <c r="AF238" s="411"/>
      <c r="AG238" s="411"/>
      <c r="AH238" s="411"/>
      <c r="AI238" s="411"/>
      <c r="AJ238" s="411"/>
      <c r="AK238" s="411"/>
      <c r="AL238" s="411"/>
      <c r="AM238" s="306"/>
    </row>
    <row r="239" spans="1:39" ht="15.5" outlineLevel="1">
      <c r="A239" s="503">
        <v>29</v>
      </c>
      <c r="B239" s="323"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76"/>
      <c r="Z239" s="764"/>
      <c r="AA239" s="764"/>
      <c r="AB239" s="764"/>
      <c r="AC239" s="764"/>
      <c r="AD239" s="764"/>
      <c r="AE239" s="764"/>
      <c r="AF239" s="414"/>
      <c r="AG239" s="414"/>
      <c r="AH239" s="414"/>
      <c r="AI239" s="414"/>
      <c r="AJ239" s="414"/>
      <c r="AK239" s="414"/>
      <c r="AL239" s="414"/>
      <c r="AM239" s="296">
        <f>SUM(Y239:AL239)</f>
        <v>0</v>
      </c>
    </row>
    <row r="240" spans="2:39" ht="15.5" outlineLevel="1">
      <c r="B240" s="323"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60">
        <f>Y239</f>
        <v>0</v>
      </c>
      <c r="Z240" s="760">
        <f t="shared" si="126" ref="Z240:AE240">Z239</f>
        <v>0</v>
      </c>
      <c r="AA240" s="760">
        <f t="shared" si="126"/>
        <v>0</v>
      </c>
      <c r="AB240" s="760">
        <f t="shared" si="126"/>
        <v>0</v>
      </c>
      <c r="AC240" s="760">
        <f t="shared" si="126"/>
        <v>0</v>
      </c>
      <c r="AD240" s="760">
        <f t="shared" si="126"/>
        <v>0</v>
      </c>
      <c r="AE240" s="760">
        <f t="shared" si="126"/>
        <v>0</v>
      </c>
      <c r="AF240" s="410">
        <f t="shared" si="127" ref="AF240:AL240">AF239</f>
        <v>0</v>
      </c>
      <c r="AG240" s="410">
        <f t="shared" si="127"/>
        <v>0</v>
      </c>
      <c r="AH240" s="410">
        <f t="shared" si="127"/>
        <v>0</v>
      </c>
      <c r="AI240" s="410">
        <f t="shared" si="127"/>
        <v>0</v>
      </c>
      <c r="AJ240" s="410">
        <f t="shared" si="127"/>
        <v>0</v>
      </c>
      <c r="AK240" s="410">
        <f t="shared" si="127"/>
        <v>0</v>
      </c>
      <c r="AL240" s="410">
        <f t="shared" si="127"/>
        <v>0</v>
      </c>
      <c r="AM240" s="499"/>
    </row>
    <row r="241" spans="2:39" ht="15.5" outlineLevel="1">
      <c r="B241" s="323"/>
      <c r="C241" s="291"/>
      <c r="D241" s="750"/>
      <c r="E241" s="750"/>
      <c r="F241" s="750"/>
      <c r="G241" s="750"/>
      <c r="H241" s="750"/>
      <c r="I241" s="750"/>
      <c r="J241" s="750"/>
      <c r="K241" s="750"/>
      <c r="L241" s="750"/>
      <c r="M241" s="750"/>
      <c r="N241" s="750"/>
      <c r="O241" s="750"/>
      <c r="P241" s="750"/>
      <c r="Q241" s="750"/>
      <c r="R241" s="750"/>
      <c r="S241" s="750"/>
      <c r="T241" s="750"/>
      <c r="U241" s="750"/>
      <c r="V241" s="750"/>
      <c r="W241" s="750"/>
      <c r="X241" s="750"/>
      <c r="Y241" s="772"/>
      <c r="Z241" s="772"/>
      <c r="AA241" s="772"/>
      <c r="AB241" s="772"/>
      <c r="AC241" s="772"/>
      <c r="AD241" s="772"/>
      <c r="AE241" s="772"/>
      <c r="AF241" s="420"/>
      <c r="AG241" s="420"/>
      <c r="AH241" s="420"/>
      <c r="AI241" s="420"/>
      <c r="AJ241" s="420"/>
      <c r="AK241" s="420"/>
      <c r="AL241" s="420"/>
      <c r="AM241" s="313"/>
    </row>
    <row r="242" spans="1:39" s="283" customFormat="1" ht="15.5" outlineLevel="1">
      <c r="A242" s="503">
        <v>30</v>
      </c>
      <c r="B242" s="323"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59"/>
      <c r="Z242" s="759"/>
      <c r="AA242" s="759"/>
      <c r="AB242" s="759"/>
      <c r="AC242" s="759"/>
      <c r="AD242" s="759"/>
      <c r="AE242" s="759"/>
      <c r="AF242" s="409"/>
      <c r="AG242" s="409"/>
      <c r="AH242" s="409"/>
      <c r="AI242" s="409"/>
      <c r="AJ242" s="409"/>
      <c r="AK242" s="409"/>
      <c r="AL242" s="409"/>
      <c r="AM242" s="296">
        <f>SUM(Y242:AL242)</f>
        <v>0</v>
      </c>
    </row>
    <row r="243" spans="1:39" s="283" customFormat="1" ht="15.5" outlineLevel="1">
      <c r="A243" s="503"/>
      <c r="B243" s="323"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60">
        <f>Y242</f>
        <v>0</v>
      </c>
      <c r="Z243" s="760">
        <f t="shared" si="128" ref="Z243:AE243">Z242</f>
        <v>0</v>
      </c>
      <c r="AA243" s="760">
        <f t="shared" si="128"/>
        <v>0</v>
      </c>
      <c r="AB243" s="760">
        <f t="shared" si="128"/>
        <v>0</v>
      </c>
      <c r="AC243" s="760">
        <f t="shared" si="128"/>
        <v>0</v>
      </c>
      <c r="AD243" s="760">
        <f t="shared" si="128"/>
        <v>0</v>
      </c>
      <c r="AE243" s="760">
        <f t="shared" si="128"/>
        <v>0</v>
      </c>
      <c r="AF243" s="410">
        <f t="shared" si="129" ref="AF243:AL243">AF242</f>
        <v>0</v>
      </c>
      <c r="AG243" s="410">
        <f t="shared" si="129"/>
        <v>0</v>
      </c>
      <c r="AH243" s="410">
        <f t="shared" si="129"/>
        <v>0</v>
      </c>
      <c r="AI243" s="410">
        <f t="shared" si="129"/>
        <v>0</v>
      </c>
      <c r="AJ243" s="410">
        <f t="shared" si="129"/>
        <v>0</v>
      </c>
      <c r="AK243" s="410">
        <f t="shared" si="129"/>
        <v>0</v>
      </c>
      <c r="AL243" s="410">
        <f t="shared" si="129"/>
        <v>0</v>
      </c>
      <c r="AM243" s="499"/>
    </row>
    <row r="244" spans="1:39" s="283" customFormat="1" ht="15.5" outlineLevel="1">
      <c r="A244" s="503"/>
      <c r="B244" s="323"/>
      <c r="C244" s="291"/>
      <c r="D244" s="750"/>
      <c r="E244" s="750"/>
      <c r="F244" s="750"/>
      <c r="G244" s="750"/>
      <c r="H244" s="750"/>
      <c r="I244" s="750"/>
      <c r="J244" s="750"/>
      <c r="K244" s="750"/>
      <c r="L244" s="750"/>
      <c r="M244" s="750"/>
      <c r="N244" s="750"/>
      <c r="O244" s="750"/>
      <c r="P244" s="750"/>
      <c r="Q244" s="750"/>
      <c r="R244" s="750"/>
      <c r="S244" s="750"/>
      <c r="T244" s="750"/>
      <c r="U244" s="750"/>
      <c r="V244" s="750"/>
      <c r="W244" s="750"/>
      <c r="X244" s="750"/>
      <c r="Y244" s="761"/>
      <c r="Z244" s="761"/>
      <c r="AA244" s="761"/>
      <c r="AB244" s="761"/>
      <c r="AC244" s="761"/>
      <c r="AD244" s="761"/>
      <c r="AE244" s="761"/>
      <c r="AF244" s="411"/>
      <c r="AG244" s="411"/>
      <c r="AH244" s="411"/>
      <c r="AI244" s="411"/>
      <c r="AJ244" s="411"/>
      <c r="AK244" s="411"/>
      <c r="AL244" s="411"/>
      <c r="AM244" s="313"/>
    </row>
    <row r="245" spans="1:39" s="283" customFormat="1" ht="15.5" outlineLevel="1">
      <c r="A245" s="503"/>
      <c r="B245" s="288" t="s">
        <v>489</v>
      </c>
      <c r="C245" s="291"/>
      <c r="D245" s="750"/>
      <c r="E245" s="750"/>
      <c r="F245" s="750"/>
      <c r="G245" s="750"/>
      <c r="H245" s="750"/>
      <c r="I245" s="750"/>
      <c r="J245" s="750"/>
      <c r="K245" s="750"/>
      <c r="L245" s="750"/>
      <c r="M245" s="750"/>
      <c r="N245" s="750"/>
      <c r="O245" s="750"/>
      <c r="P245" s="750"/>
      <c r="Q245" s="750"/>
      <c r="R245" s="750"/>
      <c r="S245" s="750"/>
      <c r="T245" s="750"/>
      <c r="U245" s="750"/>
      <c r="V245" s="750"/>
      <c r="W245" s="750"/>
      <c r="X245" s="750"/>
      <c r="Y245" s="761"/>
      <c r="Z245" s="761"/>
      <c r="AA245" s="761"/>
      <c r="AB245" s="761"/>
      <c r="AC245" s="761"/>
      <c r="AD245" s="761"/>
      <c r="AE245" s="761"/>
      <c r="AF245" s="411"/>
      <c r="AG245" s="411"/>
      <c r="AH245" s="411"/>
      <c r="AI245" s="411"/>
      <c r="AJ245" s="411"/>
      <c r="AK245" s="411"/>
      <c r="AL245" s="411"/>
      <c r="AM245" s="313"/>
    </row>
    <row r="246" spans="1:39" s="283" customFormat="1" ht="15.5" outlineLevel="1">
      <c r="A246" s="503">
        <v>31</v>
      </c>
      <c r="B246" s="323"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59"/>
      <c r="Z246" s="759"/>
      <c r="AA246" s="759"/>
      <c r="AB246" s="759"/>
      <c r="AC246" s="759"/>
      <c r="AD246" s="759"/>
      <c r="AE246" s="759"/>
      <c r="AF246" s="409"/>
      <c r="AG246" s="409"/>
      <c r="AH246" s="409"/>
      <c r="AI246" s="409"/>
      <c r="AJ246" s="409"/>
      <c r="AK246" s="409"/>
      <c r="AL246" s="409"/>
      <c r="AM246" s="296">
        <f>SUM(Y246:AL246)</f>
        <v>0</v>
      </c>
    </row>
    <row r="247" spans="1:39" s="283" customFormat="1" ht="15.5" outlineLevel="1">
      <c r="A247" s="503"/>
      <c r="B247" s="323"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60">
        <f>Y246</f>
        <v>0</v>
      </c>
      <c r="Z247" s="760">
        <f t="shared" si="130" ref="Z247:AE247">Z246</f>
        <v>0</v>
      </c>
      <c r="AA247" s="760">
        <f t="shared" si="130"/>
        <v>0</v>
      </c>
      <c r="AB247" s="760">
        <f t="shared" si="130"/>
        <v>0</v>
      </c>
      <c r="AC247" s="760">
        <f t="shared" si="130"/>
        <v>0</v>
      </c>
      <c r="AD247" s="760">
        <f t="shared" si="130"/>
        <v>0</v>
      </c>
      <c r="AE247" s="760">
        <f t="shared" si="130"/>
        <v>0</v>
      </c>
      <c r="AF247" s="410">
        <f t="shared" si="131" ref="AF247:AL247">AF246</f>
        <v>0</v>
      </c>
      <c r="AG247" s="410">
        <f t="shared" si="131"/>
        <v>0</v>
      </c>
      <c r="AH247" s="410">
        <f t="shared" si="131"/>
        <v>0</v>
      </c>
      <c r="AI247" s="410">
        <f t="shared" si="131"/>
        <v>0</v>
      </c>
      <c r="AJ247" s="410">
        <f t="shared" si="131"/>
        <v>0</v>
      </c>
      <c r="AK247" s="410">
        <f t="shared" si="131"/>
        <v>0</v>
      </c>
      <c r="AL247" s="410">
        <f t="shared" si="131"/>
        <v>0</v>
      </c>
      <c r="AM247" s="499"/>
    </row>
    <row r="248" spans="1:39" s="283" customFormat="1" ht="15.5" outlineLevel="1">
      <c r="A248" s="503"/>
      <c r="B248" s="323"/>
      <c r="C248" s="291"/>
      <c r="D248" s="750"/>
      <c r="E248" s="750"/>
      <c r="F248" s="750"/>
      <c r="G248" s="750"/>
      <c r="H248" s="750"/>
      <c r="I248" s="750"/>
      <c r="J248" s="750"/>
      <c r="K248" s="750"/>
      <c r="L248" s="750"/>
      <c r="M248" s="750"/>
      <c r="N248" s="750"/>
      <c r="O248" s="750"/>
      <c r="P248" s="750"/>
      <c r="Q248" s="750"/>
      <c r="R248" s="750"/>
      <c r="S248" s="750"/>
      <c r="T248" s="750"/>
      <c r="U248" s="750"/>
      <c r="V248" s="750"/>
      <c r="W248" s="750"/>
      <c r="X248" s="750"/>
      <c r="Y248" s="761"/>
      <c r="Z248" s="761"/>
      <c r="AA248" s="761"/>
      <c r="AB248" s="761"/>
      <c r="AC248" s="761"/>
      <c r="AD248" s="761"/>
      <c r="AE248" s="761"/>
      <c r="AF248" s="411"/>
      <c r="AG248" s="411"/>
      <c r="AH248" s="411"/>
      <c r="AI248" s="411"/>
      <c r="AJ248" s="411"/>
      <c r="AK248" s="411"/>
      <c r="AL248" s="411"/>
      <c r="AM248" s="313"/>
    </row>
    <row r="249" spans="1:39" s="283" customFormat="1" ht="15.5" outlineLevel="1">
      <c r="A249" s="503">
        <v>32</v>
      </c>
      <c r="B249" s="323"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59"/>
      <c r="Z249" s="759"/>
      <c r="AA249" s="759"/>
      <c r="AB249" s="759"/>
      <c r="AC249" s="759"/>
      <c r="AD249" s="759"/>
      <c r="AE249" s="759"/>
      <c r="AF249" s="409"/>
      <c r="AG249" s="409"/>
      <c r="AH249" s="409"/>
      <c r="AI249" s="409"/>
      <c r="AJ249" s="409"/>
      <c r="AK249" s="409"/>
      <c r="AL249" s="409"/>
      <c r="AM249" s="296">
        <f>SUM(Y249:AL249)</f>
        <v>0</v>
      </c>
    </row>
    <row r="250" spans="1:39" s="283" customFormat="1" ht="15.5" outlineLevel="1">
      <c r="A250" s="503"/>
      <c r="B250" s="323"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60">
        <f>Y249</f>
        <v>0</v>
      </c>
      <c r="Z250" s="760">
        <f t="shared" si="132" ref="Z250:AE250">Z249</f>
        <v>0</v>
      </c>
      <c r="AA250" s="760">
        <f t="shared" si="132"/>
        <v>0</v>
      </c>
      <c r="AB250" s="760">
        <f t="shared" si="132"/>
        <v>0</v>
      </c>
      <c r="AC250" s="760">
        <f t="shared" si="132"/>
        <v>0</v>
      </c>
      <c r="AD250" s="760">
        <f t="shared" si="132"/>
        <v>0</v>
      </c>
      <c r="AE250" s="760">
        <f t="shared" si="132"/>
        <v>0</v>
      </c>
      <c r="AF250" s="410">
        <f t="shared" si="133" ref="AF250:AL250">AF249</f>
        <v>0</v>
      </c>
      <c r="AG250" s="410">
        <f t="shared" si="133"/>
        <v>0</v>
      </c>
      <c r="AH250" s="410">
        <f t="shared" si="133"/>
        <v>0</v>
      </c>
      <c r="AI250" s="410">
        <f t="shared" si="133"/>
        <v>0</v>
      </c>
      <c r="AJ250" s="410">
        <f t="shared" si="133"/>
        <v>0</v>
      </c>
      <c r="AK250" s="410">
        <f t="shared" si="133"/>
        <v>0</v>
      </c>
      <c r="AL250" s="410">
        <f t="shared" si="133"/>
        <v>0</v>
      </c>
      <c r="AM250" s="499"/>
    </row>
    <row r="251" spans="1:39" s="283" customFormat="1" ht="15.5" outlineLevel="1">
      <c r="A251" s="503"/>
      <c r="B251" s="323"/>
      <c r="C251" s="291"/>
      <c r="D251" s="750"/>
      <c r="E251" s="750"/>
      <c r="F251" s="750"/>
      <c r="G251" s="750"/>
      <c r="H251" s="750"/>
      <c r="I251" s="750"/>
      <c r="J251" s="750"/>
      <c r="K251" s="750"/>
      <c r="L251" s="750"/>
      <c r="M251" s="750"/>
      <c r="N251" s="750"/>
      <c r="O251" s="750"/>
      <c r="P251" s="750"/>
      <c r="Q251" s="750"/>
      <c r="R251" s="750"/>
      <c r="S251" s="750"/>
      <c r="T251" s="750"/>
      <c r="U251" s="750"/>
      <c r="V251" s="750"/>
      <c r="W251" s="750"/>
      <c r="X251" s="750"/>
      <c r="Y251" s="761"/>
      <c r="Z251" s="761"/>
      <c r="AA251" s="761"/>
      <c r="AB251" s="761"/>
      <c r="AC251" s="761"/>
      <c r="AD251" s="761"/>
      <c r="AE251" s="761"/>
      <c r="AF251" s="411"/>
      <c r="AG251" s="411"/>
      <c r="AH251" s="411"/>
      <c r="AI251" s="411"/>
      <c r="AJ251" s="411"/>
      <c r="AK251" s="411"/>
      <c r="AL251" s="411"/>
      <c r="AM251" s="313"/>
    </row>
    <row r="252" spans="1:39" s="283" customFormat="1" ht="15.5" outlineLevel="1">
      <c r="A252" s="503">
        <v>33</v>
      </c>
      <c r="B252" s="323"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759"/>
      <c r="Z252" s="759"/>
      <c r="AA252" s="759"/>
      <c r="AB252" s="759"/>
      <c r="AC252" s="759"/>
      <c r="AD252" s="759"/>
      <c r="AE252" s="759"/>
      <c r="AF252" s="409"/>
      <c r="AG252" s="409"/>
      <c r="AH252" s="409"/>
      <c r="AI252" s="409"/>
      <c r="AJ252" s="409"/>
      <c r="AK252" s="409"/>
      <c r="AL252" s="409"/>
      <c r="AM252" s="296">
        <f>SUM(Y252:AL252)</f>
        <v>0</v>
      </c>
    </row>
    <row r="253" spans="1:39" s="283" customFormat="1" ht="15.5" outlineLevel="1">
      <c r="A253" s="503"/>
      <c r="B253" s="323"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760">
        <f>Y252</f>
        <v>0</v>
      </c>
      <c r="Z253" s="760">
        <f t="shared" si="134" ref="Z253:AE253">Z252</f>
        <v>0</v>
      </c>
      <c r="AA253" s="760">
        <f t="shared" si="134"/>
        <v>0</v>
      </c>
      <c r="AB253" s="760">
        <f t="shared" si="134"/>
        <v>0</v>
      </c>
      <c r="AC253" s="760">
        <f t="shared" si="134"/>
        <v>0</v>
      </c>
      <c r="AD253" s="760">
        <f t="shared" si="134"/>
        <v>0</v>
      </c>
      <c r="AE253" s="760">
        <f t="shared" si="134"/>
        <v>0</v>
      </c>
      <c r="AF253" s="410">
        <f t="shared" si="135" ref="AF253:AL253">AF252</f>
        <v>0</v>
      </c>
      <c r="AG253" s="410">
        <f t="shared" si="135"/>
        <v>0</v>
      </c>
      <c r="AH253" s="410">
        <f t="shared" si="135"/>
        <v>0</v>
      </c>
      <c r="AI253" s="410">
        <f t="shared" si="135"/>
        <v>0</v>
      </c>
      <c r="AJ253" s="410">
        <f t="shared" si="135"/>
        <v>0</v>
      </c>
      <c r="AK253" s="410">
        <f t="shared" si="135"/>
        <v>0</v>
      </c>
      <c r="AL253" s="410">
        <f t="shared" si="135"/>
        <v>0</v>
      </c>
      <c r="AM253" s="499"/>
    </row>
    <row r="254" spans="2:39" ht="15.5" outlineLevel="1">
      <c r="B254" s="315"/>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1"/>
      <c r="Z254" s="301"/>
      <c r="AA254" s="301"/>
      <c r="AB254" s="301"/>
      <c r="AC254" s="301"/>
      <c r="AD254" s="301"/>
      <c r="AE254" s="301"/>
      <c r="AF254" s="301"/>
      <c r="AG254" s="301"/>
      <c r="AH254" s="301"/>
      <c r="AI254" s="301"/>
      <c r="AJ254" s="301"/>
      <c r="AK254" s="301"/>
      <c r="AL254" s="301"/>
      <c r="AM254" s="306"/>
    </row>
    <row r="255" spans="2:39" ht="15.5">
      <c r="B255" s="326" t="s">
        <v>245</v>
      </c>
      <c r="C255" s="328"/>
      <c r="D255" s="328">
        <f>SUM(D150:D253)</f>
        <v>2233807.0957318274</v>
      </c>
      <c r="E255" s="328"/>
      <c r="F255" s="328"/>
      <c r="G255" s="328"/>
      <c r="H255" s="328"/>
      <c r="I255" s="328"/>
      <c r="J255" s="328"/>
      <c r="K255" s="328"/>
      <c r="L255" s="328"/>
      <c r="M255" s="328"/>
      <c r="N255" s="328"/>
      <c r="O255" s="328">
        <f>SUM(O150:O253)</f>
        <v>397.01714442750136</v>
      </c>
      <c r="P255" s="328"/>
      <c r="Q255" s="328"/>
      <c r="R255" s="328"/>
      <c r="S255" s="328"/>
      <c r="T255" s="328"/>
      <c r="U255" s="328"/>
      <c r="V255" s="328"/>
      <c r="W255" s="328"/>
      <c r="X255" s="328"/>
      <c r="Y255" s="328">
        <f>IF(Y149="kWh",SUMPRODUCT(D150:D253,Y150:Y253))</f>
        <v>361688.09608090564</v>
      </c>
      <c r="Z255" s="328">
        <f>IF(Z149="kWh",SUMPRODUCT(D150:D253,Z150:Z253))</f>
        <v>262473.37382496591</v>
      </c>
      <c r="AA255" s="328">
        <f>IF(AA149="kW",SUMPRODUCT(N150:N253,O150:O253,AA150:AA253),SUMPRODUCT(D150:D253,AA150:AA253))</f>
        <v>1119.5469090494171</v>
      </c>
      <c r="AB255" s="328">
        <f>IF(AB149="kW",SUMPRODUCT(N150:N253,O150:O253,AB150:AB253),SUMPRODUCT(D150:D253,AB150:AB253))</f>
        <v>1786.2888999735701</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2:39" ht="15.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2:39" ht="15.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300"/>
      <c r="Z257" s="300"/>
      <c r="AA257" s="300"/>
      <c r="AB257" s="300"/>
      <c r="AC257" s="300"/>
      <c r="AD257" s="300"/>
      <c r="AE257" s="300"/>
      <c r="AF257" s="300"/>
      <c r="AG257" s="300"/>
      <c r="AH257" s="300"/>
      <c r="AI257" s="300"/>
      <c r="AJ257" s="300"/>
      <c r="AK257" s="300"/>
      <c r="AL257" s="300"/>
      <c r="AM257" s="336"/>
    </row>
    <row r="258" spans="2:39" ht="15.5">
      <c r="B258" s="323" t="s">
        <v>165</v>
      </c>
      <c r="C258" s="337"/>
      <c r="D258" s="337"/>
      <c r="E258" s="375"/>
      <c r="F258" s="375"/>
      <c r="G258" s="375"/>
      <c r="H258" s="375"/>
      <c r="I258" s="375"/>
      <c r="J258" s="375"/>
      <c r="K258" s="375"/>
      <c r="L258" s="375"/>
      <c r="M258" s="375"/>
      <c r="N258" s="375"/>
      <c r="O258" s="291"/>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2:39" ht="15.5">
      <c r="B259" s="294" t="s">
        <v>154</v>
      </c>
      <c r="C259" s="344"/>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7">
        <f t="shared" si="136" ref="Y259:AL259">Y135*Y258</f>
        <v>0</v>
      </c>
      <c r="Z259" s="377">
        <f t="shared" si="136"/>
        <v>0</v>
      </c>
      <c r="AA259" s="377">
        <f t="shared" si="136"/>
        <v>0</v>
      </c>
      <c r="AB259" s="377">
        <f t="shared" si="136"/>
        <v>0</v>
      </c>
      <c r="AC259" s="377">
        <f t="shared" si="136"/>
        <v>0</v>
      </c>
      <c r="AD259" s="377">
        <f t="shared" si="136"/>
        <v>0</v>
      </c>
      <c r="AE259" s="377">
        <f t="shared" si="136"/>
        <v>0</v>
      </c>
      <c r="AF259" s="377">
        <f t="shared" si="136"/>
        <v>0</v>
      </c>
      <c r="AG259" s="377">
        <f t="shared" si="136"/>
        <v>0</v>
      </c>
      <c r="AH259" s="377">
        <f t="shared" si="136"/>
        <v>0</v>
      </c>
      <c r="AI259" s="377">
        <f t="shared" si="136"/>
        <v>0</v>
      </c>
      <c r="AJ259" s="377">
        <f t="shared" si="136"/>
        <v>0</v>
      </c>
      <c r="AK259" s="377">
        <f t="shared" si="136"/>
        <v>0</v>
      </c>
      <c r="AL259" s="377">
        <f t="shared" si="136"/>
        <v>0</v>
      </c>
      <c r="AM259" s="622">
        <f>SUM(Y259:AL259)</f>
        <v>0</v>
      </c>
    </row>
    <row r="260" spans="2:39" ht="15.5">
      <c r="B260" s="294" t="s">
        <v>155</v>
      </c>
      <c r="C260" s="344"/>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7">
        <f t="shared" si="137" ref="Y260:AE260">Y255*Y258</f>
        <v>0</v>
      </c>
      <c r="Z260" s="377">
        <f t="shared" si="137"/>
        <v>0</v>
      </c>
      <c r="AA260" s="378">
        <f t="shared" si="137"/>
        <v>0</v>
      </c>
      <c r="AB260" s="378">
        <f t="shared" si="137"/>
        <v>0</v>
      </c>
      <c r="AC260" s="378">
        <f t="shared" si="137"/>
        <v>0</v>
      </c>
      <c r="AD260" s="378">
        <f t="shared" si="137"/>
        <v>0</v>
      </c>
      <c r="AE260" s="378">
        <f t="shared" si="137"/>
        <v>0</v>
      </c>
      <c r="AF260" s="378">
        <f t="shared" si="138" ref="AF260:AL260">AF255*AF258</f>
        <v>0</v>
      </c>
      <c r="AG260" s="378">
        <f t="shared" si="138"/>
        <v>0</v>
      </c>
      <c r="AH260" s="378">
        <f t="shared" si="138"/>
        <v>0</v>
      </c>
      <c r="AI260" s="378">
        <f t="shared" si="138"/>
        <v>0</v>
      </c>
      <c r="AJ260" s="378">
        <f t="shared" si="138"/>
        <v>0</v>
      </c>
      <c r="AK260" s="378">
        <f t="shared" si="138"/>
        <v>0</v>
      </c>
      <c r="AL260" s="378">
        <f t="shared" si="138"/>
        <v>0</v>
      </c>
      <c r="AM260" s="622">
        <f>SUM(Y260:AL260)</f>
        <v>0</v>
      </c>
    </row>
    <row r="261" spans="1:39" s="379" customFormat="1" ht="15.5">
      <c r="A261" s="505"/>
      <c r="B261" s="348" t="s">
        <v>254</v>
      </c>
      <c r="C261" s="344"/>
      <c r="D261" s="335"/>
      <c r="E261" s="333"/>
      <c r="F261" s="333"/>
      <c r="G261" s="333"/>
      <c r="H261" s="333"/>
      <c r="I261" s="333"/>
      <c r="J261" s="333"/>
      <c r="K261" s="333"/>
      <c r="L261" s="333"/>
      <c r="M261" s="333"/>
      <c r="N261" s="333"/>
      <c r="O261" s="300"/>
      <c r="P261" s="333"/>
      <c r="Q261" s="333"/>
      <c r="R261" s="333"/>
      <c r="S261" s="335"/>
      <c r="T261" s="335"/>
      <c r="U261" s="335"/>
      <c r="V261" s="335"/>
      <c r="W261" s="333"/>
      <c r="X261" s="333"/>
      <c r="Y261" s="345">
        <f>SUM(Y259:Y260)</f>
        <v>0</v>
      </c>
      <c r="Z261" s="345">
        <f t="shared" si="139" ref="Z261:AE261">SUM(Z259:Z260)</f>
        <v>0</v>
      </c>
      <c r="AA261" s="345">
        <f t="shared" si="139"/>
        <v>0</v>
      </c>
      <c r="AB261" s="345">
        <f t="shared" si="139"/>
        <v>0</v>
      </c>
      <c r="AC261" s="345">
        <f t="shared" si="139"/>
        <v>0</v>
      </c>
      <c r="AD261" s="345">
        <f t="shared" si="139"/>
        <v>0</v>
      </c>
      <c r="AE261" s="345">
        <f t="shared" si="139"/>
        <v>0</v>
      </c>
      <c r="AF261" s="345">
        <f t="shared" si="140" ref="AF261:AL261">SUM(AF259:AF260)</f>
        <v>0</v>
      </c>
      <c r="AG261" s="345">
        <f t="shared" si="140"/>
        <v>0</v>
      </c>
      <c r="AH261" s="345">
        <f t="shared" si="140"/>
        <v>0</v>
      </c>
      <c r="AI261" s="345">
        <f t="shared" si="140"/>
        <v>0</v>
      </c>
      <c r="AJ261" s="345">
        <f t="shared" si="140"/>
        <v>0</v>
      </c>
      <c r="AK261" s="345">
        <f t="shared" si="140"/>
        <v>0</v>
      </c>
      <c r="AL261" s="345">
        <f t="shared" si="140"/>
        <v>0</v>
      </c>
      <c r="AM261" s="406">
        <f>SUM(AM259:AM260)</f>
        <v>0</v>
      </c>
    </row>
    <row r="262" spans="1:39" s="379" customFormat="1" ht="15.5">
      <c r="A262" s="505"/>
      <c r="B262" s="348" t="s">
        <v>247</v>
      </c>
      <c r="C262" s="344"/>
      <c r="D262" s="349"/>
      <c r="E262" s="333"/>
      <c r="F262" s="333"/>
      <c r="G262" s="333"/>
      <c r="H262" s="333"/>
      <c r="I262" s="333"/>
      <c r="J262" s="333"/>
      <c r="K262" s="333"/>
      <c r="L262" s="333"/>
      <c r="M262" s="333"/>
      <c r="N262" s="333"/>
      <c r="O262" s="300"/>
      <c r="P262" s="333"/>
      <c r="Q262" s="333"/>
      <c r="R262" s="333"/>
      <c r="S262" s="335"/>
      <c r="T262" s="335"/>
      <c r="U262" s="335"/>
      <c r="V262" s="335"/>
      <c r="W262" s="333"/>
      <c r="X262" s="333"/>
      <c r="Y262" s="346">
        <f t="shared" si="141" ref="Y262:AE262">Y256*Y258</f>
        <v>0</v>
      </c>
      <c r="Z262" s="346">
        <f t="shared" si="141"/>
        <v>0</v>
      </c>
      <c r="AA262" s="346">
        <f t="shared" si="141"/>
        <v>0</v>
      </c>
      <c r="AB262" s="346">
        <f t="shared" si="141"/>
        <v>0</v>
      </c>
      <c r="AC262" s="346">
        <f t="shared" si="141"/>
        <v>0</v>
      </c>
      <c r="AD262" s="346">
        <f t="shared" si="141"/>
        <v>0</v>
      </c>
      <c r="AE262" s="346">
        <f t="shared" si="141"/>
        <v>0</v>
      </c>
      <c r="AF262" s="346">
        <f t="shared" si="142" ref="AF262:AL262">AF256*AF258</f>
        <v>0</v>
      </c>
      <c r="AG262" s="346">
        <f t="shared" si="142"/>
        <v>0</v>
      </c>
      <c r="AH262" s="346">
        <f t="shared" si="142"/>
        <v>0</v>
      </c>
      <c r="AI262" s="346">
        <f t="shared" si="142"/>
        <v>0</v>
      </c>
      <c r="AJ262" s="346">
        <f t="shared" si="142"/>
        <v>0</v>
      </c>
      <c r="AK262" s="346">
        <f t="shared" si="142"/>
        <v>0</v>
      </c>
      <c r="AL262" s="346">
        <f t="shared" si="142"/>
        <v>0</v>
      </c>
      <c r="AM262" s="406">
        <f>SUM(Y262:AL262)</f>
        <v>0</v>
      </c>
    </row>
    <row r="263" spans="1:39" s="379" customFormat="1" ht="15.5">
      <c r="A263" s="505"/>
      <c r="B263" s="348" t="s">
        <v>255</v>
      </c>
      <c r="C263" s="344"/>
      <c r="D263" s="349"/>
      <c r="E263" s="333"/>
      <c r="F263" s="333"/>
      <c r="G263" s="333"/>
      <c r="H263" s="333"/>
      <c r="I263" s="333"/>
      <c r="J263" s="333"/>
      <c r="K263" s="333"/>
      <c r="L263" s="333"/>
      <c r="M263" s="333"/>
      <c r="N263" s="333"/>
      <c r="O263" s="300"/>
      <c r="P263" s="333"/>
      <c r="Q263" s="333"/>
      <c r="R263" s="333"/>
      <c r="S263" s="349"/>
      <c r="T263" s="349"/>
      <c r="U263" s="349"/>
      <c r="V263" s="349"/>
      <c r="W263" s="333"/>
      <c r="X263" s="333"/>
      <c r="AM263" s="406">
        <f>AM261-AM262</f>
        <v>0</v>
      </c>
    </row>
    <row r="264" spans="2:39" ht="15.5">
      <c r="B264" s="323"/>
      <c r="C264" s="349"/>
      <c r="D264" s="349"/>
      <c r="E264" s="333"/>
      <c r="F264" s="333"/>
      <c r="G264" s="333"/>
      <c r="H264" s="333"/>
      <c r="I264" s="333"/>
      <c r="J264" s="333"/>
      <c r="K264" s="333"/>
      <c r="L264" s="333"/>
      <c r="M264" s="333"/>
      <c r="N264" s="333"/>
      <c r="O264" s="300"/>
      <c r="P264" s="333"/>
      <c r="Q264" s="333"/>
      <c r="R264" s="333"/>
      <c r="S264" s="349"/>
      <c r="T264" s="344"/>
      <c r="U264" s="349"/>
      <c r="V264" s="349"/>
      <c r="W264" s="333"/>
      <c r="X264" s="333"/>
      <c r="AM264" s="347"/>
    </row>
    <row r="265" spans="2:41" ht="15.5">
      <c r="B265" s="294" t="s">
        <v>70</v>
      </c>
      <c r="C265" s="355"/>
      <c r="D265" s="279"/>
      <c r="E265" s="279"/>
      <c r="F265" s="279"/>
      <c r="G265" s="279"/>
      <c r="H265" s="279"/>
      <c r="I265" s="279"/>
      <c r="J265" s="279"/>
      <c r="K265" s="279"/>
      <c r="L265" s="279"/>
      <c r="M265" s="279"/>
      <c r="N265" s="279"/>
      <c r="O265" s="356"/>
      <c r="P265" s="279"/>
      <c r="Q265" s="279"/>
      <c r="R265" s="279"/>
      <c r="S265" s="304"/>
      <c r="T265" s="309"/>
      <c r="U265" s="309"/>
      <c r="V265" s="279"/>
      <c r="W265" s="279"/>
      <c r="X265" s="309"/>
      <c r="Y265" s="291">
        <f>SUMPRODUCT(E150:E253,Y150:Y253)</f>
        <v>361688.09608090564</v>
      </c>
      <c r="Z265" s="291">
        <f>SUMPRODUCT(E150:E253,Z150:Z253)</f>
        <v>262473.37382496591</v>
      </c>
      <c r="AA265" s="291">
        <f>IF(AA149="kW",SUMPRODUCT(N150:N253,P150:P253,AA150:AA253),SUMPRODUCT(E150:E253,AA150:AA253))</f>
        <v>1119.5469090494171</v>
      </c>
      <c r="AB265" s="291">
        <f>IF(AB149="kW",SUMPRODUCT(N150:N253,P150:P253,AB150:AB253),SUMPRODUCT(E150:E253,AB150:AB253))</f>
        <v>1786.2888999735701</v>
      </c>
      <c r="AC265" s="291">
        <f>IF(AC149="kW",SUMPRODUCT(N150:N253,P150:P253,AC150:AC253),SUMPRODUCT(E150:E253,AC150:AC253))</f>
        <v>0</v>
      </c>
      <c r="AD265" s="291">
        <f>IF(AD149="kW",SUMPRODUCT(N150:N253,P150:P253,AD150:AD253),SUMPRODUCT(E150:E253,AD150:AD253))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7"/>
      <c r="AO265" s="283"/>
    </row>
    <row r="266" spans="2:39" ht="15.5">
      <c r="B266" s="294" t="s">
        <v>71</v>
      </c>
      <c r="C266" s="355"/>
      <c r="D266" s="279"/>
      <c r="E266" s="279"/>
      <c r="F266" s="279"/>
      <c r="G266" s="279"/>
      <c r="H266" s="279"/>
      <c r="I266" s="279"/>
      <c r="J266" s="279"/>
      <c r="K266" s="279"/>
      <c r="L266" s="279"/>
      <c r="M266" s="279"/>
      <c r="N266" s="279"/>
      <c r="O266" s="356"/>
      <c r="P266" s="279"/>
      <c r="Q266" s="279"/>
      <c r="R266" s="279"/>
      <c r="S266" s="304"/>
      <c r="T266" s="309"/>
      <c r="U266" s="309"/>
      <c r="V266" s="279"/>
      <c r="W266" s="279"/>
      <c r="X266" s="309"/>
      <c r="Y266" s="291">
        <f>SUMPRODUCT(F150:F253,Y150:Y253)</f>
        <v>361688.09608090564</v>
      </c>
      <c r="Z266" s="291">
        <f>SUMPRODUCT(F150:F253,Z150:Z253)</f>
        <v>261262.97947368235</v>
      </c>
      <c r="AA266" s="291">
        <f>IF(AA149="kW",SUMPRODUCT(N150:N253,Q150:Q253,AA150:AA253),SUMPRODUCT(F150:F253,AA150:AA253))</f>
        <v>1119.5469090494171</v>
      </c>
      <c r="AB266" s="291">
        <f>IF(AB149="kW",SUMPRODUCT(N150:N253,Q150:Q253,AB150:AB253),SUMPRODUCT(F150:F253,AB150:AB253))</f>
        <v>1786.2888999735701</v>
      </c>
      <c r="AC266" s="291">
        <f>IF(AC149="kW",SUMPRODUCT(N150:N253,Q150:Q253,AC150:AC253),SUMPRODUCT(F150:F253,AC150:AC253))</f>
        <v>0</v>
      </c>
      <c r="AD266" s="291">
        <f>IF(AD149="kW",SUMPRODUCT(N150:N253,Q150:Q253,AD150:AD253),SUMPRODUCT(F150:F253,AD150:AD253))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6"/>
    </row>
    <row r="267" spans="2:39" ht="15.5">
      <c r="B267" s="323" t="s">
        <v>189</v>
      </c>
      <c r="C267" s="355"/>
      <c r="D267" s="279"/>
      <c r="E267" s="279"/>
      <c r="F267" s="279"/>
      <c r="G267" s="279"/>
      <c r="H267" s="279"/>
      <c r="I267" s="279"/>
      <c r="J267" s="279"/>
      <c r="K267" s="279"/>
      <c r="L267" s="279"/>
      <c r="M267" s="279"/>
      <c r="N267" s="279"/>
      <c r="O267" s="356"/>
      <c r="P267" s="279"/>
      <c r="Q267" s="279"/>
      <c r="R267" s="279"/>
      <c r="S267" s="304"/>
      <c r="T267" s="309"/>
      <c r="U267" s="309"/>
      <c r="V267" s="279"/>
      <c r="W267" s="279"/>
      <c r="X267" s="309"/>
      <c r="Y267" s="291">
        <f>SUMPRODUCT(G150:G253,Y150:Y253)</f>
        <v>361677.68806725845</v>
      </c>
      <c r="Z267" s="291">
        <f>SUMPRODUCT(G150:G253,Z150:Z253)</f>
        <v>247141.33068330525</v>
      </c>
      <c r="AA267" s="291">
        <f>IF(AA149="kW",SUMPRODUCT(N150:N253,R150:R253,AA150:AA253),SUMPRODUCT(G150:G253,AA150:AA253))</f>
        <v>1119.5469090494171</v>
      </c>
      <c r="AB267" s="291">
        <f>IF(AB149="kW",SUMPRODUCT(N150:N253,R150:R253,AB150:AB253),SUMPRODUCT(G150:G253,AB150:AB253))</f>
        <v>1786.2888999735701</v>
      </c>
      <c r="AC267" s="291">
        <f>IF(AC149="kW",SUMPRODUCT(N150:N253,R150:R253,AC150:AC253),SUMPRODUCT(G150:G253,AC150:AC253))</f>
        <v>0</v>
      </c>
      <c r="AD267" s="291">
        <f>IF(AD149="kW",SUMPRODUCT(N150:N253,R150:R253,AD150:AD253),SUMPRODUCT(G150:G253,AD150:AD253))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6"/>
    </row>
    <row r="268" spans="2:39" ht="15.5">
      <c r="B268" s="323" t="s">
        <v>190</v>
      </c>
      <c r="C268" s="355"/>
      <c r="D268" s="279"/>
      <c r="E268" s="279"/>
      <c r="F268" s="279"/>
      <c r="G268" s="279"/>
      <c r="H268" s="279"/>
      <c r="I268" s="279"/>
      <c r="J268" s="279"/>
      <c r="K268" s="279"/>
      <c r="L268" s="279"/>
      <c r="M268" s="279"/>
      <c r="N268" s="279"/>
      <c r="O268" s="356"/>
      <c r="P268" s="279"/>
      <c r="Q268" s="279"/>
      <c r="R268" s="279"/>
      <c r="S268" s="304"/>
      <c r="T268" s="309"/>
      <c r="U268" s="309"/>
      <c r="V268" s="279"/>
      <c r="W268" s="279"/>
      <c r="X268" s="309"/>
      <c r="Y268" s="291"/>
      <c r="Z268" s="291"/>
      <c r="AA268" s="291"/>
      <c r="AB268" s="291"/>
      <c r="AC268" s="291"/>
      <c r="AD268" s="291"/>
      <c r="AE268" s="291"/>
      <c r="AF268" s="291"/>
      <c r="AG268" s="291"/>
      <c r="AH268" s="291"/>
      <c r="AI268" s="291"/>
      <c r="AJ268" s="291"/>
      <c r="AK268" s="291"/>
      <c r="AL268" s="291"/>
      <c r="AM268" s="336"/>
    </row>
    <row r="269" spans="2:39" ht="15.5">
      <c r="B269" s="323" t="s">
        <v>191</v>
      </c>
      <c r="C269" s="355"/>
      <c r="D269" s="279"/>
      <c r="E269" s="279"/>
      <c r="F269" s="279"/>
      <c r="G269" s="279"/>
      <c r="H269" s="279"/>
      <c r="I269" s="279"/>
      <c r="J269" s="279"/>
      <c r="K269" s="279"/>
      <c r="L269" s="279"/>
      <c r="M269" s="279"/>
      <c r="N269" s="279"/>
      <c r="O269" s="356"/>
      <c r="P269" s="279"/>
      <c r="Q269" s="279"/>
      <c r="R269" s="279"/>
      <c r="S269" s="304"/>
      <c r="T269" s="309"/>
      <c r="U269" s="309"/>
      <c r="V269" s="279"/>
      <c r="W269" s="279"/>
      <c r="X269" s="309"/>
      <c r="Y269" s="291"/>
      <c r="Z269" s="291"/>
      <c r="AA269" s="291"/>
      <c r="AB269" s="291"/>
      <c r="AC269" s="291"/>
      <c r="AD269" s="291"/>
      <c r="AE269" s="291"/>
      <c r="AF269" s="291"/>
      <c r="AG269" s="291"/>
      <c r="AH269" s="291"/>
      <c r="AI269" s="291"/>
      <c r="AJ269" s="291"/>
      <c r="AK269" s="291"/>
      <c r="AL269" s="291"/>
      <c r="AM269" s="336"/>
    </row>
    <row r="270" spans="2:39" ht="15.5">
      <c r="B270" s="323" t="s">
        <v>192</v>
      </c>
      <c r="C270" s="355"/>
      <c r="D270" s="309"/>
      <c r="E270" s="309"/>
      <c r="F270" s="309"/>
      <c r="G270" s="309"/>
      <c r="H270" s="309"/>
      <c r="I270" s="309"/>
      <c r="J270" s="309"/>
      <c r="K270" s="309"/>
      <c r="L270" s="309"/>
      <c r="M270" s="309"/>
      <c r="N270" s="309"/>
      <c r="O270" s="356"/>
      <c r="P270" s="309"/>
      <c r="Q270" s="309"/>
      <c r="R270" s="309"/>
      <c r="S270" s="304"/>
      <c r="T270" s="309"/>
      <c r="U270" s="309"/>
      <c r="V270" s="309"/>
      <c r="W270" s="309"/>
      <c r="X270" s="309"/>
      <c r="Y270" s="291"/>
      <c r="Z270" s="291"/>
      <c r="AA270" s="291"/>
      <c r="AB270" s="291"/>
      <c r="AC270" s="291"/>
      <c r="AD270" s="291"/>
      <c r="AE270" s="291"/>
      <c r="AF270" s="291"/>
      <c r="AG270" s="291"/>
      <c r="AH270" s="291"/>
      <c r="AI270" s="291"/>
      <c r="AJ270" s="291"/>
      <c r="AK270" s="291"/>
      <c r="AL270" s="291"/>
      <c r="AM270" s="336"/>
    </row>
    <row r="271" spans="2:39" ht="15.5">
      <c r="B271" s="323" t="s">
        <v>193</v>
      </c>
      <c r="C271" s="355"/>
      <c r="D271" s="334"/>
      <c r="E271" s="334"/>
      <c r="F271" s="334"/>
      <c r="G271" s="334"/>
      <c r="H271" s="334"/>
      <c r="I271" s="334"/>
      <c r="J271" s="334"/>
      <c r="K271" s="334"/>
      <c r="L271" s="334"/>
      <c r="M271" s="334"/>
      <c r="N271" s="334"/>
      <c r="O271" s="309"/>
      <c r="P271" s="279"/>
      <c r="Q271" s="279"/>
      <c r="R271" s="309"/>
      <c r="S271" s="304"/>
      <c r="T271" s="309"/>
      <c r="U271" s="309"/>
      <c r="V271" s="356"/>
      <c r="W271" s="356"/>
      <c r="X271" s="309"/>
      <c r="Y271" s="291"/>
      <c r="Z271" s="291"/>
      <c r="AA271" s="291"/>
      <c r="AB271" s="291"/>
      <c r="AC271" s="291"/>
      <c r="AD271" s="291"/>
      <c r="AE271" s="291"/>
      <c r="AF271" s="291"/>
      <c r="AG271" s="291"/>
      <c r="AH271" s="291"/>
      <c r="AI271" s="291"/>
      <c r="AJ271" s="291"/>
      <c r="AK271" s="291"/>
      <c r="AL271" s="291"/>
      <c r="AM271" s="336"/>
    </row>
    <row r="272" spans="2:39" ht="15.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c r="Z272" s="325"/>
      <c r="AA272" s="325"/>
      <c r="AB272" s="325"/>
      <c r="AC272" s="325"/>
      <c r="AD272" s="325"/>
      <c r="AE272" s="325"/>
      <c r="AF272" s="325"/>
      <c r="AG272" s="325"/>
      <c r="AH272" s="325"/>
      <c r="AI272" s="325"/>
      <c r="AJ272" s="325"/>
      <c r="AK272" s="325"/>
      <c r="AL272" s="325"/>
      <c r="AM272" s="385"/>
    </row>
    <row r="273" spans="2:39" ht="18.75" customHeight="1">
      <c r="B273" s="367" t="s">
        <v>586</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5:38" ht="14">
      <c r="E274" s="389"/>
      <c r="F274" s="389"/>
      <c r="G274" s="389"/>
      <c r="H274" s="389"/>
      <c r="I274" s="389"/>
      <c r="J274" s="389"/>
      <c r="K274" s="389"/>
      <c r="L274" s="389"/>
      <c r="M274" s="389"/>
      <c r="N274" s="389"/>
      <c r="O274" s="389"/>
      <c r="P274" s="389"/>
      <c r="Q274" s="389"/>
      <c r="R274" s="389"/>
      <c r="S274" s="389"/>
      <c r="T274" s="389"/>
      <c r="U274" s="389"/>
      <c r="V274" s="389"/>
      <c r="W274" s="389"/>
      <c r="X274" s="389"/>
      <c r="Y274" s="256"/>
      <c r="Z274" s="256"/>
      <c r="AA274" s="256"/>
      <c r="AB274" s="256"/>
      <c r="AC274" s="256"/>
      <c r="AD274" s="256"/>
      <c r="AE274" s="256"/>
      <c r="AF274" s="256"/>
      <c r="AG274" s="256"/>
      <c r="AH274" s="256"/>
      <c r="AI274" s="256"/>
      <c r="AJ274" s="256"/>
      <c r="AK274" s="256"/>
      <c r="AL274" s="256"/>
    </row>
    <row r="275" spans="2:39" ht="15.5">
      <c r="B275" s="280" t="s">
        <v>248</v>
      </c>
      <c r="C275" s="281"/>
      <c r="D275" s="585" t="s">
        <v>525</v>
      </c>
      <c r="E275" s="583"/>
      <c r="O275" s="281"/>
      <c r="Y275" s="270"/>
      <c r="Z275" s="267"/>
      <c r="AA275" s="267"/>
      <c r="AB275" s="267"/>
      <c r="AC275" s="267"/>
      <c r="AD275" s="267"/>
      <c r="AE275" s="267"/>
      <c r="AF275" s="267"/>
      <c r="AG275" s="267"/>
      <c r="AH275" s="267"/>
      <c r="AI275" s="267"/>
      <c r="AJ275" s="267"/>
      <c r="AK275" s="267"/>
      <c r="AL275" s="267"/>
      <c r="AM275" s="282"/>
    </row>
    <row r="276" spans="2:39" ht="33" customHeight="1">
      <c r="B276" s="902" t="s">
        <v>211</v>
      </c>
      <c r="C276" s="904" t="s">
        <v>33</v>
      </c>
      <c r="D276" s="284" t="s">
        <v>421</v>
      </c>
      <c r="E276" s="906" t="s">
        <v>209</v>
      </c>
      <c r="F276" s="907"/>
      <c r="G276" s="907"/>
      <c r="H276" s="907"/>
      <c r="I276" s="907"/>
      <c r="J276" s="907"/>
      <c r="K276" s="907"/>
      <c r="L276" s="907"/>
      <c r="M276" s="908"/>
      <c r="N276" s="909" t="s">
        <v>213</v>
      </c>
      <c r="O276" s="284" t="s">
        <v>422</v>
      </c>
      <c r="P276" s="906" t="s">
        <v>212</v>
      </c>
      <c r="Q276" s="907"/>
      <c r="R276" s="907"/>
      <c r="S276" s="907"/>
      <c r="T276" s="907"/>
      <c r="U276" s="907"/>
      <c r="V276" s="907"/>
      <c r="W276" s="907"/>
      <c r="X276" s="908"/>
      <c r="Y276" s="899" t="s">
        <v>243</v>
      </c>
      <c r="Z276" s="900"/>
      <c r="AA276" s="900"/>
      <c r="AB276" s="900"/>
      <c r="AC276" s="900"/>
      <c r="AD276" s="900"/>
      <c r="AE276" s="900"/>
      <c r="AF276" s="900"/>
      <c r="AG276" s="900"/>
      <c r="AH276" s="900"/>
      <c r="AI276" s="900"/>
      <c r="AJ276" s="900"/>
      <c r="AK276" s="900"/>
      <c r="AL276" s="900"/>
      <c r="AM276" s="901"/>
    </row>
    <row r="277" spans="2:39" ht="60.75" customHeight="1">
      <c r="B277" s="903"/>
      <c r="C277" s="905"/>
      <c r="D277" s="285">
        <v>2013</v>
      </c>
      <c r="E277" s="285">
        <v>2014</v>
      </c>
      <c r="F277" s="285">
        <v>2015</v>
      </c>
      <c r="G277" s="285">
        <v>2016</v>
      </c>
      <c r="H277" s="285">
        <v>2017</v>
      </c>
      <c r="I277" s="285">
        <v>2018</v>
      </c>
      <c r="J277" s="285">
        <v>2019</v>
      </c>
      <c r="K277" s="285">
        <v>2020</v>
      </c>
      <c r="L277" s="285">
        <v>2021</v>
      </c>
      <c r="M277" s="285">
        <v>2022</v>
      </c>
      <c r="N277" s="91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50 - 999 kW</v>
      </c>
      <c r="AB277" s="285" t="str">
        <f>'1.  LRAMVA Summary'!G52</f>
        <v>GS 1,000 - 4,999 kW</v>
      </c>
      <c r="AC277" s="285" t="str">
        <f>'1.  LRAMVA Summary'!H52</f>
        <v>USL</v>
      </c>
      <c r="AD277" s="285" t="str">
        <f>'1.  LRAMVA Summary'!I52</f>
        <v>Sentinel Lighting</v>
      </c>
      <c r="AE277" s="285" t="str">
        <f>'1.  LRAMVA Summary'!J52</f>
        <v>Street Lighting</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4"/>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3">
        <v>1</v>
      </c>
      <c r="B279" s="294" t="s">
        <v>1</v>
      </c>
      <c r="C279" s="291" t="s">
        <v>25</v>
      </c>
      <c r="D279" s="295">
        <f>'7.  Persistence Report'!AS73+'7.  Persistence Report'!AS78</f>
        <v>25479.396168512572</v>
      </c>
      <c r="E279" s="295">
        <f>'7.  Persistence Report'!AT73+'7.  Persistence Report'!AT78</f>
        <v>25479.396168512572</v>
      </c>
      <c r="F279" s="295">
        <f>'7.  Persistence Report'!AU73+'7.  Persistence Report'!AU78</f>
        <v>25479.396168512572</v>
      </c>
      <c r="G279" s="295">
        <f>'7.  Persistence Report'!AV73+'7.  Persistence Report'!AV78</f>
        <v>25376.851650179571</v>
      </c>
      <c r="H279" s="295">
        <f>'7.  Persistence Report'!AW73+'7.  Persistence Report'!AW78</f>
        <v>13644.42287125954</v>
      </c>
      <c r="I279" s="295">
        <f>'7.  Persistence Report'!AX73+'7.  Persistence Report'!AX78</f>
        <v>0</v>
      </c>
      <c r="J279" s="295">
        <f>'7.  Persistence Report'!AY73+'7.  Persistence Report'!AY78</f>
        <v>0</v>
      </c>
      <c r="K279" s="295">
        <f>'7.  Persistence Report'!AZ73+'7.  Persistence Report'!AZ78</f>
        <v>0</v>
      </c>
      <c r="L279" s="295">
        <f>'7.  Persistence Report'!BA73+'7.  Persistence Report'!BA78</f>
        <v>0</v>
      </c>
      <c r="M279" s="295">
        <f>'7.  Persistence Report'!BB73+'7.  Persistence Report'!BB78</f>
        <v>0</v>
      </c>
      <c r="N279" s="750"/>
      <c r="O279" s="295">
        <f>'7.  Persistence Report'!N73+'7.  Persistence Report'!N78</f>
        <v>3.7304624550065792</v>
      </c>
      <c r="P279" s="295">
        <f>'7.  Persistence Report'!O73+'7.  Persistence Report'!O78</f>
        <v>3.7304624550065792</v>
      </c>
      <c r="Q279" s="295">
        <f>'7.  Persistence Report'!P73+'7.  Persistence Report'!P78</f>
        <v>3.7304624550065792</v>
      </c>
      <c r="R279" s="295">
        <f>'7.  Persistence Report'!Q73+'7.  Persistence Report'!Q78</f>
        <v>3.6256784250065794</v>
      </c>
      <c r="S279" s="295">
        <f>'7.  Persistence Report'!R73+'7.  Persistence Report'!R78</f>
        <v>2.0053044616894362</v>
      </c>
      <c r="T279" s="295">
        <f>'7.  Persistence Report'!S73+'7.  Persistence Report'!S78</f>
        <v>0</v>
      </c>
      <c r="U279" s="295">
        <f>'7.  Persistence Report'!T73+'7.  Persistence Report'!T78</f>
        <v>0</v>
      </c>
      <c r="V279" s="295">
        <f>'7.  Persistence Report'!U73+'7.  Persistence Report'!U78</f>
        <v>0</v>
      </c>
      <c r="W279" s="295">
        <f>'7.  Persistence Report'!V73+'7.  Persistence Report'!V78</f>
        <v>0</v>
      </c>
      <c r="X279" s="295">
        <f>'7.  Persistence Report'!W73+'7.  Persistence Report'!W78</f>
        <v>0</v>
      </c>
      <c r="Y279" s="759">
        <v>1</v>
      </c>
      <c r="Z279" s="759"/>
      <c r="AA279" s="759"/>
      <c r="AB279" s="759"/>
      <c r="AC279" s="759"/>
      <c r="AD279" s="759"/>
      <c r="AE279" s="759"/>
      <c r="AF279" s="409"/>
      <c r="AG279" s="409"/>
      <c r="AH279" s="409"/>
      <c r="AI279" s="409"/>
      <c r="AJ279" s="409"/>
      <c r="AK279" s="409"/>
      <c r="AL279" s="409"/>
      <c r="AM279" s="296">
        <f>SUM(Y279:AL279)</f>
        <v>1</v>
      </c>
    </row>
    <row r="280" spans="2:39" ht="15.5" outlineLevel="1">
      <c r="B280" s="294" t="s">
        <v>249</v>
      </c>
      <c r="C280" s="291" t="s">
        <v>163</v>
      </c>
      <c r="D280" s="295"/>
      <c r="E280" s="295"/>
      <c r="F280" s="295"/>
      <c r="G280" s="295"/>
      <c r="H280" s="295"/>
      <c r="I280" s="295"/>
      <c r="J280" s="295"/>
      <c r="K280" s="295"/>
      <c r="L280" s="295"/>
      <c r="M280" s="295"/>
      <c r="N280" s="751"/>
      <c r="O280" s="295"/>
      <c r="P280" s="295"/>
      <c r="Q280" s="295"/>
      <c r="R280" s="295"/>
      <c r="S280" s="295"/>
      <c r="T280" s="295"/>
      <c r="U280" s="295"/>
      <c r="V280" s="295"/>
      <c r="W280" s="295"/>
      <c r="X280" s="295"/>
      <c r="Y280" s="760">
        <f>Y279</f>
        <v>1</v>
      </c>
      <c r="Z280" s="760">
        <f>Z279</f>
        <v>0</v>
      </c>
      <c r="AA280" s="760">
        <f t="shared" si="143" ref="AA280:AE280">AA279</f>
        <v>0</v>
      </c>
      <c r="AB280" s="760">
        <f t="shared" si="143"/>
        <v>0</v>
      </c>
      <c r="AC280" s="760">
        <f t="shared" si="143"/>
        <v>0</v>
      </c>
      <c r="AD280" s="760">
        <f t="shared" si="143"/>
        <v>0</v>
      </c>
      <c r="AE280" s="760">
        <f t="shared" si="143"/>
        <v>0</v>
      </c>
      <c r="AF280" s="410">
        <f t="shared" si="144" ref="AF280:AL280">AF279</f>
        <v>0</v>
      </c>
      <c r="AG280" s="410">
        <f t="shared" si="144"/>
        <v>0</v>
      </c>
      <c r="AH280" s="410">
        <f t="shared" si="144"/>
        <v>0</v>
      </c>
      <c r="AI280" s="410">
        <f t="shared" si="144"/>
        <v>0</v>
      </c>
      <c r="AJ280" s="410">
        <f t="shared" si="144"/>
        <v>0</v>
      </c>
      <c r="AK280" s="410">
        <f t="shared" si="144"/>
        <v>0</v>
      </c>
      <c r="AL280" s="410">
        <f t="shared" si="144"/>
        <v>0</v>
      </c>
      <c r="AM280" s="297"/>
    </row>
    <row r="281" spans="1:39" ht="15.5" outlineLevel="1">
      <c r="A281" s="505"/>
      <c r="B281" s="298"/>
      <c r="C281" s="299"/>
      <c r="D281" s="752"/>
      <c r="E281" s="752"/>
      <c r="F281" s="752"/>
      <c r="G281" s="752"/>
      <c r="H281" s="752"/>
      <c r="I281" s="752"/>
      <c r="J281" s="752"/>
      <c r="K281" s="752"/>
      <c r="L281" s="752"/>
      <c r="M281" s="752"/>
      <c r="N281" s="303"/>
      <c r="O281" s="752"/>
      <c r="P281" s="752"/>
      <c r="Q281" s="752"/>
      <c r="R281" s="752"/>
      <c r="S281" s="752"/>
      <c r="T281" s="752"/>
      <c r="U281" s="752"/>
      <c r="V281" s="752"/>
      <c r="W281" s="752"/>
      <c r="X281" s="752"/>
      <c r="Y281" s="761"/>
      <c r="Z281" s="762"/>
      <c r="AA281" s="762"/>
      <c r="AB281" s="762"/>
      <c r="AC281" s="762"/>
      <c r="AD281" s="762"/>
      <c r="AE281" s="762"/>
      <c r="AF281" s="412"/>
      <c r="AG281" s="412"/>
      <c r="AH281" s="412"/>
      <c r="AI281" s="412"/>
      <c r="AJ281" s="412"/>
      <c r="AK281" s="412"/>
      <c r="AL281" s="412"/>
      <c r="AM281" s="302"/>
    </row>
    <row r="282" spans="1:39" ht="15.5" outlineLevel="1">
      <c r="A282" s="503">
        <v>2</v>
      </c>
      <c r="B282" s="294" t="s">
        <v>2</v>
      </c>
      <c r="C282" s="291" t="s">
        <v>25</v>
      </c>
      <c r="D282" s="295">
        <f>'7.  Persistence Report'!AS72</f>
        <v>7758.2374369999998</v>
      </c>
      <c r="E282" s="295">
        <f>'7.  Persistence Report'!AT72</f>
        <v>7758.2374369999998</v>
      </c>
      <c r="F282" s="295">
        <f>'7.  Persistence Report'!AU72</f>
        <v>7758.2374369999998</v>
      </c>
      <c r="G282" s="295">
        <f>'7.  Persistence Report'!AV72</f>
        <v>7758.2374369999998</v>
      </c>
      <c r="H282" s="295">
        <f>'7.  Persistence Report'!AW72</f>
        <v>0</v>
      </c>
      <c r="I282" s="295">
        <f>'7.  Persistence Report'!AX72</f>
        <v>0</v>
      </c>
      <c r="J282" s="295">
        <f>'7.  Persistence Report'!AY72</f>
        <v>0</v>
      </c>
      <c r="K282" s="295">
        <f>'7.  Persistence Report'!AZ72</f>
        <v>0</v>
      </c>
      <c r="L282" s="295">
        <f>'7.  Persistence Report'!BA72</f>
        <v>0</v>
      </c>
      <c r="M282" s="295">
        <f>'7.  Persistence Report'!BB72</f>
        <v>0</v>
      </c>
      <c r="N282" s="750"/>
      <c r="O282" s="295">
        <f>'7.  Persistence Report'!N72</f>
        <v>4.3510760800000003</v>
      </c>
      <c r="P282" s="295">
        <f>'7.  Persistence Report'!O72</f>
        <v>4.3510760800000003</v>
      </c>
      <c r="Q282" s="295">
        <f>'7.  Persistence Report'!P72</f>
        <v>4.3510760800000003</v>
      </c>
      <c r="R282" s="295">
        <f>'7.  Persistence Report'!Q72</f>
        <v>4.3510760800000003</v>
      </c>
      <c r="S282" s="295">
        <f>'7.  Persistence Report'!R72</f>
        <v>0</v>
      </c>
      <c r="T282" s="295">
        <f>'7.  Persistence Report'!S72</f>
        <v>0</v>
      </c>
      <c r="U282" s="295">
        <f>'7.  Persistence Report'!T72</f>
        <v>0</v>
      </c>
      <c r="V282" s="295">
        <f>'7.  Persistence Report'!U72</f>
        <v>0</v>
      </c>
      <c r="W282" s="295">
        <f>'7.  Persistence Report'!V72</f>
        <v>0</v>
      </c>
      <c r="X282" s="295">
        <f>'7.  Persistence Report'!W72</f>
        <v>0</v>
      </c>
      <c r="Y282" s="759">
        <v>1</v>
      </c>
      <c r="Z282" s="759"/>
      <c r="AA282" s="759"/>
      <c r="AB282" s="759"/>
      <c r="AC282" s="759"/>
      <c r="AD282" s="759"/>
      <c r="AE282" s="759"/>
      <c r="AF282" s="409"/>
      <c r="AG282" s="409"/>
      <c r="AH282" s="409"/>
      <c r="AI282" s="409"/>
      <c r="AJ282" s="409"/>
      <c r="AK282" s="409"/>
      <c r="AL282" s="409"/>
      <c r="AM282" s="296">
        <f>SUM(Y282:AL282)</f>
        <v>1</v>
      </c>
    </row>
    <row r="283" spans="2:39" ht="15.5" outlineLevel="1">
      <c r="B283" s="294" t="s">
        <v>249</v>
      </c>
      <c r="C283" s="291" t="s">
        <v>163</v>
      </c>
      <c r="D283" s="295"/>
      <c r="E283" s="295"/>
      <c r="F283" s="295"/>
      <c r="G283" s="295"/>
      <c r="H283" s="295"/>
      <c r="I283" s="295"/>
      <c r="J283" s="295"/>
      <c r="K283" s="295"/>
      <c r="L283" s="295"/>
      <c r="M283" s="295"/>
      <c r="N283" s="751"/>
      <c r="O283" s="295"/>
      <c r="P283" s="295"/>
      <c r="Q283" s="295"/>
      <c r="R283" s="295"/>
      <c r="S283" s="295"/>
      <c r="T283" s="295"/>
      <c r="U283" s="295"/>
      <c r="V283" s="295"/>
      <c r="W283" s="295"/>
      <c r="X283" s="295"/>
      <c r="Y283" s="760">
        <f>Y282</f>
        <v>1</v>
      </c>
      <c r="Z283" s="760">
        <f>Z282</f>
        <v>0</v>
      </c>
      <c r="AA283" s="760">
        <f t="shared" si="145" ref="AA283:AE283">AA282</f>
        <v>0</v>
      </c>
      <c r="AB283" s="760">
        <f t="shared" si="145"/>
        <v>0</v>
      </c>
      <c r="AC283" s="760">
        <f t="shared" si="145"/>
        <v>0</v>
      </c>
      <c r="AD283" s="760">
        <f t="shared" si="145"/>
        <v>0</v>
      </c>
      <c r="AE283" s="760">
        <f t="shared" si="145"/>
        <v>0</v>
      </c>
      <c r="AF283" s="410">
        <f t="shared" si="146" ref="AF283:AL283">AF282</f>
        <v>0</v>
      </c>
      <c r="AG283" s="410">
        <f t="shared" si="146"/>
        <v>0</v>
      </c>
      <c r="AH283" s="410">
        <f t="shared" si="146"/>
        <v>0</v>
      </c>
      <c r="AI283" s="410">
        <f t="shared" si="146"/>
        <v>0</v>
      </c>
      <c r="AJ283" s="410">
        <f t="shared" si="146"/>
        <v>0</v>
      </c>
      <c r="AK283" s="410">
        <f t="shared" si="146"/>
        <v>0</v>
      </c>
      <c r="AL283" s="410">
        <f t="shared" si="146"/>
        <v>0</v>
      </c>
      <c r="AM283" s="297"/>
    </row>
    <row r="284" spans="1:39" ht="15.5" outlineLevel="1">
      <c r="A284" s="505"/>
      <c r="B284" s="298"/>
      <c r="C284" s="299"/>
      <c r="D284" s="753"/>
      <c r="E284" s="753"/>
      <c r="F284" s="753"/>
      <c r="G284" s="753"/>
      <c r="H284" s="753"/>
      <c r="I284" s="753"/>
      <c r="J284" s="753"/>
      <c r="K284" s="753"/>
      <c r="L284" s="753"/>
      <c r="M284" s="753"/>
      <c r="N284" s="303"/>
      <c r="O284" s="753"/>
      <c r="P284" s="753"/>
      <c r="Q284" s="753"/>
      <c r="R284" s="753"/>
      <c r="S284" s="753"/>
      <c r="T284" s="753"/>
      <c r="U284" s="753"/>
      <c r="V284" s="753"/>
      <c r="W284" s="753"/>
      <c r="X284" s="753"/>
      <c r="Y284" s="761"/>
      <c r="Z284" s="762"/>
      <c r="AA284" s="762"/>
      <c r="AB284" s="762"/>
      <c r="AC284" s="762"/>
      <c r="AD284" s="762"/>
      <c r="AE284" s="762"/>
      <c r="AF284" s="412"/>
      <c r="AG284" s="412"/>
      <c r="AH284" s="412"/>
      <c r="AI284" s="412"/>
      <c r="AJ284" s="412"/>
      <c r="AK284" s="412"/>
      <c r="AL284" s="412"/>
      <c r="AM284" s="302"/>
    </row>
    <row r="285" spans="1:39" ht="15.5" outlineLevel="1">
      <c r="A285" s="503">
        <v>3</v>
      </c>
      <c r="B285" s="294" t="s">
        <v>3</v>
      </c>
      <c r="C285" s="291" t="s">
        <v>25</v>
      </c>
      <c r="D285" s="295">
        <f>'7.  Persistence Report'!AS76</f>
        <v>164882.60492727099</v>
      </c>
      <c r="E285" s="295">
        <f>'7.  Persistence Report'!AT76</f>
        <v>164882.60492727099</v>
      </c>
      <c r="F285" s="295">
        <f>'7.  Persistence Report'!AU76</f>
        <v>164882.60492727099</v>
      </c>
      <c r="G285" s="295">
        <f>'7.  Persistence Report'!AV76</f>
        <v>164882.60492727099</v>
      </c>
      <c r="H285" s="295">
        <f>'7.  Persistence Report'!AW76</f>
        <v>164882.60492727099</v>
      </c>
      <c r="I285" s="295">
        <f>'7.  Persistence Report'!AX76</f>
        <v>164882.60492727099</v>
      </c>
      <c r="J285" s="295">
        <f>'7.  Persistence Report'!AY76</f>
        <v>164882.60492727099</v>
      </c>
      <c r="K285" s="295">
        <f>'7.  Persistence Report'!AZ76</f>
        <v>164882.60492727099</v>
      </c>
      <c r="L285" s="295">
        <f>'7.  Persistence Report'!BA76</f>
        <v>164882.60492727099</v>
      </c>
      <c r="M285" s="295">
        <f>'7.  Persistence Report'!BB76</f>
        <v>164882.60492727099</v>
      </c>
      <c r="N285" s="750"/>
      <c r="O285" s="295">
        <f>'7.  Persistence Report'!N76</f>
        <v>97.219324766</v>
      </c>
      <c r="P285" s="295">
        <f>'7.  Persistence Report'!O76</f>
        <v>97.219324766</v>
      </c>
      <c r="Q285" s="295">
        <f>'7.  Persistence Report'!P76</f>
        <v>97.219324766</v>
      </c>
      <c r="R285" s="295">
        <f>'7.  Persistence Report'!Q76</f>
        <v>97.219324766</v>
      </c>
      <c r="S285" s="295">
        <f>'7.  Persistence Report'!R76</f>
        <v>97.219324766</v>
      </c>
      <c r="T285" s="295">
        <f>'7.  Persistence Report'!S76</f>
        <v>97.219324766</v>
      </c>
      <c r="U285" s="295">
        <f>'7.  Persistence Report'!T76</f>
        <v>97.219324766</v>
      </c>
      <c r="V285" s="295">
        <f>'7.  Persistence Report'!U76</f>
        <v>97.219324766</v>
      </c>
      <c r="W285" s="295">
        <f>'7.  Persistence Report'!V76</f>
        <v>97.219324766</v>
      </c>
      <c r="X285" s="295">
        <f>'7.  Persistence Report'!W76</f>
        <v>97.219324766</v>
      </c>
      <c r="Y285" s="759">
        <v>1</v>
      </c>
      <c r="Z285" s="759"/>
      <c r="AA285" s="759"/>
      <c r="AB285" s="759"/>
      <c r="AC285" s="759"/>
      <c r="AD285" s="759"/>
      <c r="AE285" s="759"/>
      <c r="AF285" s="409"/>
      <c r="AG285" s="409"/>
      <c r="AH285" s="409"/>
      <c r="AI285" s="409"/>
      <c r="AJ285" s="409"/>
      <c r="AK285" s="409"/>
      <c r="AL285" s="409"/>
      <c r="AM285" s="296">
        <f>SUM(Y285:AL285)</f>
        <v>1</v>
      </c>
    </row>
    <row r="286" spans="2:39" ht="15.5" outlineLevel="1">
      <c r="B286" s="294" t="s">
        <v>249</v>
      </c>
      <c r="C286" s="291" t="s">
        <v>163</v>
      </c>
      <c r="D286" s="295">
        <f>'7.  Persistence Report'!AS83</f>
        <v>9701.8248294900004</v>
      </c>
      <c r="E286" s="295">
        <f>'7.  Persistence Report'!AT83</f>
        <v>9701.8248294900004</v>
      </c>
      <c r="F286" s="295">
        <f>'7.  Persistence Report'!AU83</f>
        <v>9701.8248294900004</v>
      </c>
      <c r="G286" s="295">
        <f>'7.  Persistence Report'!AV83</f>
        <v>9701.8248294900004</v>
      </c>
      <c r="H286" s="295">
        <f>'7.  Persistence Report'!AW83</f>
        <v>9701.8248294900004</v>
      </c>
      <c r="I286" s="295">
        <f>'7.  Persistence Report'!AX83</f>
        <v>9701.8248294900004</v>
      </c>
      <c r="J286" s="295">
        <f>'7.  Persistence Report'!AY83</f>
        <v>9701.8248294900004</v>
      </c>
      <c r="K286" s="295">
        <f>'7.  Persistence Report'!AZ83</f>
        <v>9701.8248294900004</v>
      </c>
      <c r="L286" s="295">
        <f>'7.  Persistence Report'!BA83</f>
        <v>9701.8248294900004</v>
      </c>
      <c r="M286" s="295">
        <f>'7.  Persistence Report'!BB83</f>
        <v>9701.8248294900004</v>
      </c>
      <c r="N286" s="751"/>
      <c r="O286" s="295">
        <f>'7.  Persistence Report'!N83</f>
        <v>5.613266962</v>
      </c>
      <c r="P286" s="295">
        <f>'7.  Persistence Report'!O83</f>
        <v>5.613266962</v>
      </c>
      <c r="Q286" s="295">
        <f>'7.  Persistence Report'!P83</f>
        <v>5.613266962</v>
      </c>
      <c r="R286" s="295">
        <f>'7.  Persistence Report'!Q83</f>
        <v>5.613266962</v>
      </c>
      <c r="S286" s="295">
        <f>'7.  Persistence Report'!R83</f>
        <v>5.613266962</v>
      </c>
      <c r="T286" s="295">
        <f>'7.  Persistence Report'!S83</f>
        <v>5.613266962</v>
      </c>
      <c r="U286" s="295">
        <f>'7.  Persistence Report'!T83</f>
        <v>5.613266962</v>
      </c>
      <c r="V286" s="295">
        <f>'7.  Persistence Report'!U83</f>
        <v>5.613266962</v>
      </c>
      <c r="W286" s="295">
        <f>'7.  Persistence Report'!V83</f>
        <v>5.613266962</v>
      </c>
      <c r="X286" s="295">
        <f>'7.  Persistence Report'!W83</f>
        <v>5.613266962</v>
      </c>
      <c r="Y286" s="760">
        <f>Y285</f>
        <v>1</v>
      </c>
      <c r="Z286" s="760">
        <f>Z285</f>
        <v>0</v>
      </c>
      <c r="AA286" s="760">
        <f t="shared" si="147" ref="AA286:AE286">AA285</f>
        <v>0</v>
      </c>
      <c r="AB286" s="760">
        <f t="shared" si="147"/>
        <v>0</v>
      </c>
      <c r="AC286" s="760">
        <f t="shared" si="147"/>
        <v>0</v>
      </c>
      <c r="AD286" s="760">
        <f t="shared" si="147"/>
        <v>0</v>
      </c>
      <c r="AE286" s="760">
        <f t="shared" si="147"/>
        <v>0</v>
      </c>
      <c r="AF286" s="410">
        <f t="shared" si="148" ref="AF286:AL286">AF285</f>
        <v>0</v>
      </c>
      <c r="AG286" s="410">
        <f t="shared" si="148"/>
        <v>0</v>
      </c>
      <c r="AH286" s="410">
        <f t="shared" si="148"/>
        <v>0</v>
      </c>
      <c r="AI286" s="410">
        <f t="shared" si="148"/>
        <v>0</v>
      </c>
      <c r="AJ286" s="410">
        <f t="shared" si="148"/>
        <v>0</v>
      </c>
      <c r="AK286" s="410">
        <f t="shared" si="148"/>
        <v>0</v>
      </c>
      <c r="AL286" s="410">
        <f t="shared" si="148"/>
        <v>0</v>
      </c>
      <c r="AM286" s="297"/>
    </row>
    <row r="287" spans="2:39" ht="15.5" outlineLevel="1">
      <c r="B287" s="294"/>
      <c r="C287" s="305"/>
      <c r="D287" s="750"/>
      <c r="E287" s="750"/>
      <c r="F287" s="750"/>
      <c r="G287" s="750"/>
      <c r="H287" s="750"/>
      <c r="I287" s="750"/>
      <c r="J287" s="750"/>
      <c r="K287" s="750"/>
      <c r="L287" s="750"/>
      <c r="M287" s="750"/>
      <c r="N287" s="283"/>
      <c r="O287" s="750"/>
      <c r="P287" s="750"/>
      <c r="Q287" s="750"/>
      <c r="R287" s="750"/>
      <c r="S287" s="750"/>
      <c r="T287" s="750"/>
      <c r="U287" s="750"/>
      <c r="V287" s="750"/>
      <c r="W287" s="750"/>
      <c r="X287" s="750"/>
      <c r="Y287" s="761"/>
      <c r="Z287" s="761"/>
      <c r="AA287" s="761"/>
      <c r="AB287" s="761"/>
      <c r="AC287" s="761"/>
      <c r="AD287" s="761"/>
      <c r="AE287" s="761"/>
      <c r="AF287" s="411"/>
      <c r="AG287" s="411"/>
      <c r="AH287" s="411"/>
      <c r="AI287" s="411"/>
      <c r="AJ287" s="411"/>
      <c r="AK287" s="411"/>
      <c r="AL287" s="411"/>
      <c r="AM287" s="306"/>
    </row>
    <row r="288" spans="1:39" ht="15.5" outlineLevel="1">
      <c r="A288" s="503">
        <v>4</v>
      </c>
      <c r="B288" s="294" t="s">
        <v>4</v>
      </c>
      <c r="C288" s="291" t="s">
        <v>25</v>
      </c>
      <c r="D288" s="295">
        <f>'7.  Persistence Report'!AS71</f>
        <v>42197.034117946998</v>
      </c>
      <c r="E288" s="295">
        <f>'7.  Persistence Report'!AT71</f>
        <v>42197.034117946998</v>
      </c>
      <c r="F288" s="295">
        <f>'7.  Persistence Report'!AU71</f>
        <v>40570.934375088997</v>
      </c>
      <c r="G288" s="295">
        <f>'7.  Persistence Report'!AV71</f>
        <v>34371.953674465003</v>
      </c>
      <c r="H288" s="295">
        <f>'7.  Persistence Report'!AW71</f>
        <v>34371.953674465003</v>
      </c>
      <c r="I288" s="295">
        <f>'7.  Persistence Report'!AX71</f>
        <v>34371.953674465003</v>
      </c>
      <c r="J288" s="295">
        <f>'7.  Persistence Report'!AY71</f>
        <v>34371.953674465003</v>
      </c>
      <c r="K288" s="295">
        <f>'7.  Persistence Report'!AZ71</f>
        <v>34343.308258609002</v>
      </c>
      <c r="L288" s="295">
        <f>'7.  Persistence Report'!BA71</f>
        <v>24973.357596730999</v>
      </c>
      <c r="M288" s="295">
        <f>'7.  Persistence Report'!BB71</f>
        <v>24973.357596730999</v>
      </c>
      <c r="N288" s="750"/>
      <c r="O288" s="295">
        <f>'7.  Persistence Report'!N71</f>
        <v>2.8281782359999998</v>
      </c>
      <c r="P288" s="295">
        <f>'7.  Persistence Report'!O71</f>
        <v>2.8281782359999998</v>
      </c>
      <c r="Q288" s="295">
        <f>'7.  Persistence Report'!P71</f>
        <v>2.7260960860000001</v>
      </c>
      <c r="R288" s="295">
        <f>'7.  Persistence Report'!Q71</f>
        <v>2.3369408209999998</v>
      </c>
      <c r="S288" s="295">
        <f>'7.  Persistence Report'!R71</f>
        <v>2.3369408209999998</v>
      </c>
      <c r="T288" s="295">
        <f>'7.  Persistence Report'!S71</f>
        <v>2.3369408209999998</v>
      </c>
      <c r="U288" s="295">
        <f>'7.  Persistence Report'!T71</f>
        <v>2.3369408209999998</v>
      </c>
      <c r="V288" s="295">
        <f>'7.  Persistence Report'!U71</f>
        <v>2.3336707959999998</v>
      </c>
      <c r="W288" s="295">
        <f>'7.  Persistence Report'!V71</f>
        <v>1.745450602</v>
      </c>
      <c r="X288" s="295">
        <f>'7.  Persistence Report'!W71</f>
        <v>1.745450602</v>
      </c>
      <c r="Y288" s="759">
        <v>1</v>
      </c>
      <c r="Z288" s="759"/>
      <c r="AA288" s="759"/>
      <c r="AB288" s="759"/>
      <c r="AC288" s="759"/>
      <c r="AD288" s="759"/>
      <c r="AE288" s="759"/>
      <c r="AF288" s="409"/>
      <c r="AG288" s="409"/>
      <c r="AH288" s="409"/>
      <c r="AI288" s="409"/>
      <c r="AJ288" s="409"/>
      <c r="AK288" s="409"/>
      <c r="AL288" s="409"/>
      <c r="AM288" s="296">
        <f>SUM(Y288:AL288)</f>
        <v>1</v>
      </c>
    </row>
    <row r="289" spans="2:39" ht="15.5" outlineLevel="1">
      <c r="B289" s="294" t="s">
        <v>249</v>
      </c>
      <c r="C289" s="291" t="s">
        <v>163</v>
      </c>
      <c r="D289" s="295">
        <f>'7.  Persistence Report'!AS81</f>
        <v>129</v>
      </c>
      <c r="E289" s="295">
        <f>'7.  Persistence Report'!AT81</f>
        <v>129</v>
      </c>
      <c r="F289" s="295">
        <f>'7.  Persistence Report'!AU81</f>
        <v>123</v>
      </c>
      <c r="G289" s="295">
        <f>'7.  Persistence Report'!AV81</f>
        <v>106</v>
      </c>
      <c r="H289" s="295">
        <f>'7.  Persistence Report'!AW81</f>
        <v>106</v>
      </c>
      <c r="I289" s="295">
        <f>'7.  Persistence Report'!AX81</f>
        <v>106</v>
      </c>
      <c r="J289" s="295">
        <f>'7.  Persistence Report'!AY81</f>
        <v>106</v>
      </c>
      <c r="K289" s="295">
        <f>'7.  Persistence Report'!AZ81</f>
        <v>106</v>
      </c>
      <c r="L289" s="295">
        <f>'7.  Persistence Report'!BA81</f>
        <v>89</v>
      </c>
      <c r="M289" s="295">
        <f>'7.  Persistence Report'!BB81</f>
        <v>89</v>
      </c>
      <c r="N289" s="751"/>
      <c r="O289" s="295">
        <f>'7.  Persistence Report'!N81</f>
        <v>0.0089999999999999993</v>
      </c>
      <c r="P289" s="295">
        <f>'7.  Persistence Report'!O81</f>
        <v>0.0089999999999999993</v>
      </c>
      <c r="Q289" s="295">
        <f>'7.  Persistence Report'!P81</f>
        <v>0.0089999999999999993</v>
      </c>
      <c r="R289" s="295">
        <f>'7.  Persistence Report'!Q81</f>
        <v>0.0080000000000000002</v>
      </c>
      <c r="S289" s="295">
        <f>'7.  Persistence Report'!R81</f>
        <v>0.0080000000000000002</v>
      </c>
      <c r="T289" s="295">
        <f>'7.  Persistence Report'!S81</f>
        <v>0.0080000000000000002</v>
      </c>
      <c r="U289" s="295">
        <f>'7.  Persistence Report'!T81</f>
        <v>0.0080000000000000002</v>
      </c>
      <c r="V289" s="295">
        <f>'7.  Persistence Report'!U81</f>
        <v>0.0080000000000000002</v>
      </c>
      <c r="W289" s="295">
        <f>'7.  Persistence Report'!V81</f>
        <v>0.0070000000000000001</v>
      </c>
      <c r="X289" s="295">
        <f>'7.  Persistence Report'!W81</f>
        <v>0.0070000000000000001</v>
      </c>
      <c r="Y289" s="760">
        <f>Y288</f>
        <v>1</v>
      </c>
      <c r="Z289" s="760">
        <f>Z288</f>
        <v>0</v>
      </c>
      <c r="AA289" s="760">
        <f t="shared" si="149" ref="AA289:AE289">AA288</f>
        <v>0</v>
      </c>
      <c r="AB289" s="760">
        <f t="shared" si="149"/>
        <v>0</v>
      </c>
      <c r="AC289" s="760">
        <f t="shared" si="149"/>
        <v>0</v>
      </c>
      <c r="AD289" s="760">
        <f t="shared" si="149"/>
        <v>0</v>
      </c>
      <c r="AE289" s="760">
        <f t="shared" si="149"/>
        <v>0</v>
      </c>
      <c r="AF289" s="410">
        <f t="shared" si="150" ref="AF289:AL289">AF288</f>
        <v>0</v>
      </c>
      <c r="AG289" s="410">
        <f t="shared" si="150"/>
        <v>0</v>
      </c>
      <c r="AH289" s="410">
        <f t="shared" si="150"/>
        <v>0</v>
      </c>
      <c r="AI289" s="410">
        <f t="shared" si="150"/>
        <v>0</v>
      </c>
      <c r="AJ289" s="410">
        <f t="shared" si="150"/>
        <v>0</v>
      </c>
      <c r="AK289" s="410">
        <f t="shared" si="150"/>
        <v>0</v>
      </c>
      <c r="AL289" s="410">
        <f t="shared" si="150"/>
        <v>0</v>
      </c>
      <c r="AM289" s="297"/>
    </row>
    <row r="290" spans="2:39" ht="15.5" outlineLevel="1">
      <c r="B290" s="294"/>
      <c r="C290" s="305"/>
      <c r="D290" s="753"/>
      <c r="E290" s="753"/>
      <c r="F290" s="753"/>
      <c r="G290" s="753"/>
      <c r="H290" s="753"/>
      <c r="I290" s="753"/>
      <c r="J290" s="753"/>
      <c r="K290" s="753"/>
      <c r="L290" s="753"/>
      <c r="M290" s="753"/>
      <c r="N290" s="750"/>
      <c r="O290" s="753"/>
      <c r="P290" s="753"/>
      <c r="Q290" s="753"/>
      <c r="R290" s="753"/>
      <c r="S290" s="753"/>
      <c r="T290" s="753"/>
      <c r="U290" s="753"/>
      <c r="V290" s="753"/>
      <c r="W290" s="753"/>
      <c r="X290" s="753"/>
      <c r="Y290" s="761"/>
      <c r="Z290" s="761"/>
      <c r="AA290" s="761"/>
      <c r="AB290" s="761"/>
      <c r="AC290" s="761"/>
      <c r="AD290" s="761"/>
      <c r="AE290" s="761"/>
      <c r="AF290" s="411"/>
      <c r="AG290" s="411"/>
      <c r="AH290" s="411"/>
      <c r="AI290" s="411"/>
      <c r="AJ290" s="411"/>
      <c r="AK290" s="411"/>
      <c r="AL290" s="411"/>
      <c r="AM290" s="306"/>
    </row>
    <row r="291" spans="1:39" ht="15.5" outlineLevel="1">
      <c r="A291" s="503">
        <v>5</v>
      </c>
      <c r="B291" s="294" t="s">
        <v>5</v>
      </c>
      <c r="C291" s="291" t="s">
        <v>25</v>
      </c>
      <c r="D291" s="295"/>
      <c r="E291" s="295"/>
      <c r="F291" s="295"/>
      <c r="G291" s="295"/>
      <c r="H291" s="295"/>
      <c r="I291" s="295"/>
      <c r="J291" s="295"/>
      <c r="K291" s="295"/>
      <c r="L291" s="295"/>
      <c r="M291" s="295"/>
      <c r="N291" s="750"/>
      <c r="O291" s="295"/>
      <c r="P291" s="295"/>
      <c r="Q291" s="295"/>
      <c r="R291" s="295"/>
      <c r="S291" s="295"/>
      <c r="T291" s="295"/>
      <c r="U291" s="295"/>
      <c r="V291" s="295"/>
      <c r="W291" s="295"/>
      <c r="X291" s="295"/>
      <c r="Y291" s="759"/>
      <c r="Z291" s="759"/>
      <c r="AA291" s="759"/>
      <c r="AB291" s="759"/>
      <c r="AC291" s="759"/>
      <c r="AD291" s="759"/>
      <c r="AE291" s="759"/>
      <c r="AF291" s="409"/>
      <c r="AG291" s="409"/>
      <c r="AH291" s="409"/>
      <c r="AI291" s="409"/>
      <c r="AJ291" s="409"/>
      <c r="AK291" s="409"/>
      <c r="AL291" s="409"/>
      <c r="AM291" s="296">
        <f>SUM(Y291:AL291)</f>
        <v>0</v>
      </c>
    </row>
    <row r="292" spans="2:39" ht="15.5" outlineLevel="1">
      <c r="B292" s="294" t="s">
        <v>249</v>
      </c>
      <c r="C292" s="291" t="s">
        <v>163</v>
      </c>
      <c r="D292" s="295"/>
      <c r="E292" s="295"/>
      <c r="F292" s="295"/>
      <c r="G292" s="295"/>
      <c r="H292" s="295"/>
      <c r="I292" s="295"/>
      <c r="J292" s="295"/>
      <c r="K292" s="295"/>
      <c r="L292" s="295"/>
      <c r="M292" s="295"/>
      <c r="N292" s="751"/>
      <c r="O292" s="295"/>
      <c r="P292" s="295"/>
      <c r="Q292" s="295"/>
      <c r="R292" s="295"/>
      <c r="S292" s="295"/>
      <c r="T292" s="295"/>
      <c r="U292" s="295"/>
      <c r="V292" s="295"/>
      <c r="W292" s="295"/>
      <c r="X292" s="295"/>
      <c r="Y292" s="760">
        <f>Y291</f>
        <v>0</v>
      </c>
      <c r="Z292" s="760">
        <f>Z291</f>
        <v>0</v>
      </c>
      <c r="AA292" s="760">
        <f t="shared" si="151" ref="AA292:AE292">AA291</f>
        <v>0</v>
      </c>
      <c r="AB292" s="760">
        <f t="shared" si="151"/>
        <v>0</v>
      </c>
      <c r="AC292" s="760">
        <f t="shared" si="151"/>
        <v>0</v>
      </c>
      <c r="AD292" s="760">
        <f t="shared" si="151"/>
        <v>0</v>
      </c>
      <c r="AE292" s="760">
        <f t="shared" si="151"/>
        <v>0</v>
      </c>
      <c r="AF292" s="410">
        <f t="shared" si="152" ref="AF292:AL292">AF291</f>
        <v>0</v>
      </c>
      <c r="AG292" s="410">
        <f t="shared" si="152"/>
        <v>0</v>
      </c>
      <c r="AH292" s="410">
        <f t="shared" si="152"/>
        <v>0</v>
      </c>
      <c r="AI292" s="410">
        <f t="shared" si="152"/>
        <v>0</v>
      </c>
      <c r="AJ292" s="410">
        <f t="shared" si="152"/>
        <v>0</v>
      </c>
      <c r="AK292" s="410">
        <f t="shared" si="152"/>
        <v>0</v>
      </c>
      <c r="AL292" s="410">
        <f t="shared" si="152"/>
        <v>0</v>
      </c>
      <c r="AM292" s="297"/>
    </row>
    <row r="293" spans="2:39" ht="15.5" outlineLevel="1">
      <c r="B293" s="294"/>
      <c r="C293" s="305"/>
      <c r="D293" s="753"/>
      <c r="E293" s="753"/>
      <c r="F293" s="753"/>
      <c r="G293" s="753"/>
      <c r="H293" s="753"/>
      <c r="I293" s="753"/>
      <c r="J293" s="753"/>
      <c r="K293" s="753"/>
      <c r="L293" s="753"/>
      <c r="M293" s="753"/>
      <c r="N293" s="750"/>
      <c r="O293" s="753"/>
      <c r="P293" s="753"/>
      <c r="Q293" s="753"/>
      <c r="R293" s="753"/>
      <c r="S293" s="753"/>
      <c r="T293" s="753"/>
      <c r="U293" s="753"/>
      <c r="V293" s="753"/>
      <c r="W293" s="753"/>
      <c r="X293" s="753"/>
      <c r="Y293" s="761"/>
      <c r="Z293" s="761"/>
      <c r="AA293" s="761"/>
      <c r="AB293" s="761"/>
      <c r="AC293" s="761"/>
      <c r="AD293" s="761"/>
      <c r="AE293" s="761"/>
      <c r="AF293" s="411"/>
      <c r="AG293" s="411"/>
      <c r="AH293" s="411"/>
      <c r="AI293" s="411"/>
      <c r="AJ293" s="411"/>
      <c r="AK293" s="411"/>
      <c r="AL293" s="411"/>
      <c r="AM293" s="306"/>
    </row>
    <row r="294" spans="1:39" ht="15.5" outlineLevel="1">
      <c r="A294" s="503">
        <v>6</v>
      </c>
      <c r="B294" s="294" t="s">
        <v>6</v>
      </c>
      <c r="C294" s="291" t="s">
        <v>25</v>
      </c>
      <c r="D294" s="295"/>
      <c r="E294" s="295"/>
      <c r="F294" s="295"/>
      <c r="G294" s="295"/>
      <c r="H294" s="295"/>
      <c r="I294" s="295"/>
      <c r="J294" s="295"/>
      <c r="K294" s="295"/>
      <c r="L294" s="295"/>
      <c r="M294" s="295"/>
      <c r="N294" s="750"/>
      <c r="O294" s="295"/>
      <c r="P294" s="295"/>
      <c r="Q294" s="295"/>
      <c r="R294" s="295"/>
      <c r="S294" s="295"/>
      <c r="T294" s="295"/>
      <c r="U294" s="295"/>
      <c r="V294" s="295"/>
      <c r="W294" s="295"/>
      <c r="X294" s="295"/>
      <c r="Y294" s="759"/>
      <c r="Z294" s="759"/>
      <c r="AA294" s="759"/>
      <c r="AB294" s="759"/>
      <c r="AC294" s="759"/>
      <c r="AD294" s="759"/>
      <c r="AE294" s="759"/>
      <c r="AF294" s="409"/>
      <c r="AG294" s="409"/>
      <c r="AH294" s="409"/>
      <c r="AI294" s="409"/>
      <c r="AJ294" s="409"/>
      <c r="AK294" s="409"/>
      <c r="AL294" s="409"/>
      <c r="AM294" s="296">
        <f>SUM(Y294:AL294)</f>
        <v>0</v>
      </c>
    </row>
    <row r="295" spans="2:39" ht="15.5" outlineLevel="1">
      <c r="B295" s="294" t="s">
        <v>249</v>
      </c>
      <c r="C295" s="291" t="s">
        <v>163</v>
      </c>
      <c r="D295" s="295"/>
      <c r="E295" s="295"/>
      <c r="F295" s="295"/>
      <c r="G295" s="295"/>
      <c r="H295" s="295"/>
      <c r="I295" s="295"/>
      <c r="J295" s="295"/>
      <c r="K295" s="295"/>
      <c r="L295" s="295"/>
      <c r="M295" s="295"/>
      <c r="N295" s="751"/>
      <c r="O295" s="295"/>
      <c r="P295" s="295"/>
      <c r="Q295" s="295"/>
      <c r="R295" s="295"/>
      <c r="S295" s="295"/>
      <c r="T295" s="295"/>
      <c r="U295" s="295"/>
      <c r="V295" s="295"/>
      <c r="W295" s="295"/>
      <c r="X295" s="295"/>
      <c r="Y295" s="760">
        <f>Y294</f>
        <v>0</v>
      </c>
      <c r="Z295" s="760">
        <f>Z294</f>
        <v>0</v>
      </c>
      <c r="AA295" s="760">
        <f t="shared" si="153" ref="AA295:AE295">AA294</f>
        <v>0</v>
      </c>
      <c r="AB295" s="760">
        <f t="shared" si="153"/>
        <v>0</v>
      </c>
      <c r="AC295" s="760">
        <f t="shared" si="153"/>
        <v>0</v>
      </c>
      <c r="AD295" s="760">
        <f t="shared" si="153"/>
        <v>0</v>
      </c>
      <c r="AE295" s="760">
        <f t="shared" si="153"/>
        <v>0</v>
      </c>
      <c r="AF295" s="410">
        <f t="shared" si="154" ref="AF295:AL295">AF294</f>
        <v>0</v>
      </c>
      <c r="AG295" s="410">
        <f t="shared" si="154"/>
        <v>0</v>
      </c>
      <c r="AH295" s="410">
        <f t="shared" si="154"/>
        <v>0</v>
      </c>
      <c r="AI295" s="410">
        <f t="shared" si="154"/>
        <v>0</v>
      </c>
      <c r="AJ295" s="410">
        <f t="shared" si="154"/>
        <v>0</v>
      </c>
      <c r="AK295" s="410">
        <f t="shared" si="154"/>
        <v>0</v>
      </c>
      <c r="AL295" s="410">
        <f t="shared" si="154"/>
        <v>0</v>
      </c>
      <c r="AM295" s="297"/>
    </row>
    <row r="296" spans="2:39" ht="15.5" outlineLevel="1">
      <c r="B296" s="294"/>
      <c r="C296" s="305"/>
      <c r="D296" s="753"/>
      <c r="E296" s="753"/>
      <c r="F296" s="753"/>
      <c r="G296" s="753"/>
      <c r="H296" s="753"/>
      <c r="I296" s="753"/>
      <c r="J296" s="753"/>
      <c r="K296" s="753"/>
      <c r="L296" s="753"/>
      <c r="M296" s="753"/>
      <c r="N296" s="750"/>
      <c r="O296" s="753"/>
      <c r="P296" s="753"/>
      <c r="Q296" s="753"/>
      <c r="R296" s="753"/>
      <c r="S296" s="753"/>
      <c r="T296" s="753"/>
      <c r="U296" s="753"/>
      <c r="V296" s="753"/>
      <c r="W296" s="753"/>
      <c r="X296" s="753"/>
      <c r="Y296" s="761"/>
      <c r="Z296" s="761"/>
      <c r="AA296" s="761"/>
      <c r="AB296" s="761"/>
      <c r="AC296" s="761"/>
      <c r="AD296" s="761"/>
      <c r="AE296" s="761"/>
      <c r="AF296" s="411"/>
      <c r="AG296" s="411"/>
      <c r="AH296" s="411"/>
      <c r="AI296" s="411"/>
      <c r="AJ296" s="411"/>
      <c r="AK296" s="411"/>
      <c r="AL296" s="411"/>
      <c r="AM296" s="306"/>
    </row>
    <row r="297" spans="1:39" ht="15.5" outlineLevel="1">
      <c r="A297" s="503">
        <v>7</v>
      </c>
      <c r="B297" s="294" t="s">
        <v>42</v>
      </c>
      <c r="C297" s="291" t="s">
        <v>25</v>
      </c>
      <c r="D297" s="295"/>
      <c r="E297" s="295"/>
      <c r="F297" s="295"/>
      <c r="G297" s="295"/>
      <c r="H297" s="295"/>
      <c r="I297" s="295"/>
      <c r="J297" s="295"/>
      <c r="K297" s="295"/>
      <c r="L297" s="295"/>
      <c r="M297" s="295"/>
      <c r="N297" s="750"/>
      <c r="O297" s="295"/>
      <c r="P297" s="295"/>
      <c r="Q297" s="295"/>
      <c r="R297" s="295"/>
      <c r="S297" s="295"/>
      <c r="T297" s="295"/>
      <c r="U297" s="295"/>
      <c r="V297" s="295"/>
      <c r="W297" s="295"/>
      <c r="X297" s="295"/>
      <c r="Y297" s="759"/>
      <c r="Z297" s="759"/>
      <c r="AA297" s="759"/>
      <c r="AB297" s="759"/>
      <c r="AC297" s="759"/>
      <c r="AD297" s="759"/>
      <c r="AE297" s="759"/>
      <c r="AF297" s="409"/>
      <c r="AG297" s="409"/>
      <c r="AH297" s="409"/>
      <c r="AI297" s="409"/>
      <c r="AJ297" s="409"/>
      <c r="AK297" s="409"/>
      <c r="AL297" s="409"/>
      <c r="AM297" s="296">
        <f>SUM(Y297:AL297)</f>
        <v>0</v>
      </c>
    </row>
    <row r="298" spans="2:39" ht="15.5" outlineLevel="1">
      <c r="B298" s="294" t="s">
        <v>249</v>
      </c>
      <c r="C298" s="291" t="s">
        <v>163</v>
      </c>
      <c r="D298" s="295"/>
      <c r="E298" s="295"/>
      <c r="F298" s="295"/>
      <c r="G298" s="295"/>
      <c r="H298" s="295"/>
      <c r="I298" s="295"/>
      <c r="J298" s="295"/>
      <c r="K298" s="295"/>
      <c r="L298" s="295"/>
      <c r="M298" s="295"/>
      <c r="N298" s="750"/>
      <c r="O298" s="295"/>
      <c r="P298" s="295"/>
      <c r="Q298" s="295"/>
      <c r="R298" s="295"/>
      <c r="S298" s="295"/>
      <c r="T298" s="295"/>
      <c r="U298" s="295"/>
      <c r="V298" s="295"/>
      <c r="W298" s="295"/>
      <c r="X298" s="295"/>
      <c r="Y298" s="760">
        <f>Y297</f>
        <v>0</v>
      </c>
      <c r="Z298" s="760">
        <f>Z297</f>
        <v>0</v>
      </c>
      <c r="AA298" s="760">
        <f t="shared" si="155" ref="AA298:AE298">AA297</f>
        <v>0</v>
      </c>
      <c r="AB298" s="760">
        <f t="shared" si="155"/>
        <v>0</v>
      </c>
      <c r="AC298" s="760">
        <f t="shared" si="155"/>
        <v>0</v>
      </c>
      <c r="AD298" s="760">
        <f t="shared" si="155"/>
        <v>0</v>
      </c>
      <c r="AE298" s="760">
        <f t="shared" si="155"/>
        <v>0</v>
      </c>
      <c r="AF298" s="410">
        <f t="shared" si="156" ref="AF298:AL298">AF297</f>
        <v>0</v>
      </c>
      <c r="AG298" s="410">
        <f t="shared" si="156"/>
        <v>0</v>
      </c>
      <c r="AH298" s="410">
        <f t="shared" si="156"/>
        <v>0</v>
      </c>
      <c r="AI298" s="410">
        <f t="shared" si="156"/>
        <v>0</v>
      </c>
      <c r="AJ298" s="410">
        <f t="shared" si="156"/>
        <v>0</v>
      </c>
      <c r="AK298" s="410">
        <f t="shared" si="156"/>
        <v>0</v>
      </c>
      <c r="AL298" s="410">
        <f t="shared" si="156"/>
        <v>0</v>
      </c>
      <c r="AM298" s="297"/>
    </row>
    <row r="299" spans="2:39" ht="15.5" outlineLevel="1">
      <c r="B299" s="294"/>
      <c r="C299" s="305"/>
      <c r="D299" s="753"/>
      <c r="E299" s="753"/>
      <c r="F299" s="753"/>
      <c r="G299" s="753"/>
      <c r="H299" s="753"/>
      <c r="I299" s="753"/>
      <c r="J299" s="753"/>
      <c r="K299" s="753"/>
      <c r="L299" s="753"/>
      <c r="M299" s="753"/>
      <c r="N299" s="750"/>
      <c r="O299" s="753"/>
      <c r="P299" s="753"/>
      <c r="Q299" s="753"/>
      <c r="R299" s="753"/>
      <c r="S299" s="753"/>
      <c r="T299" s="753"/>
      <c r="U299" s="753"/>
      <c r="V299" s="753"/>
      <c r="W299" s="753"/>
      <c r="X299" s="753"/>
      <c r="Y299" s="761"/>
      <c r="Z299" s="761"/>
      <c r="AA299" s="761"/>
      <c r="AB299" s="761"/>
      <c r="AC299" s="761"/>
      <c r="AD299" s="761"/>
      <c r="AE299" s="761"/>
      <c r="AF299" s="411"/>
      <c r="AG299" s="411"/>
      <c r="AH299" s="411"/>
      <c r="AI299" s="411"/>
      <c r="AJ299" s="411"/>
      <c r="AK299" s="411"/>
      <c r="AL299" s="411"/>
      <c r="AM299" s="306"/>
    </row>
    <row r="300" spans="1:39" s="283" customFormat="1" ht="15.5" outlineLevel="1">
      <c r="A300" s="503">
        <v>8</v>
      </c>
      <c r="B300" s="294" t="s">
        <v>484</v>
      </c>
      <c r="C300" s="291" t="s">
        <v>25</v>
      </c>
      <c r="D300" s="295"/>
      <c r="E300" s="295"/>
      <c r="F300" s="295"/>
      <c r="G300" s="295"/>
      <c r="H300" s="295"/>
      <c r="I300" s="295"/>
      <c r="J300" s="295"/>
      <c r="K300" s="295"/>
      <c r="L300" s="295"/>
      <c r="M300" s="295"/>
      <c r="N300" s="750"/>
      <c r="O300" s="295"/>
      <c r="P300" s="295"/>
      <c r="Q300" s="295"/>
      <c r="R300" s="295"/>
      <c r="S300" s="295"/>
      <c r="T300" s="295"/>
      <c r="U300" s="295"/>
      <c r="V300" s="295"/>
      <c r="W300" s="295"/>
      <c r="X300" s="295"/>
      <c r="Y300" s="759"/>
      <c r="Z300" s="759"/>
      <c r="AA300" s="759"/>
      <c r="AB300" s="759"/>
      <c r="AC300" s="759"/>
      <c r="AD300" s="759"/>
      <c r="AE300" s="759"/>
      <c r="AF300" s="409"/>
      <c r="AG300" s="409"/>
      <c r="AH300" s="409"/>
      <c r="AI300" s="409"/>
      <c r="AJ300" s="409"/>
      <c r="AK300" s="409"/>
      <c r="AL300" s="409"/>
      <c r="AM300" s="296">
        <f>SUM(Y300:AL300)</f>
        <v>0</v>
      </c>
    </row>
    <row r="301" spans="1:39" s="283" customFormat="1" ht="15.5" outlineLevel="1">
      <c r="A301" s="503"/>
      <c r="B301" s="294" t="s">
        <v>249</v>
      </c>
      <c r="C301" s="291" t="s">
        <v>163</v>
      </c>
      <c r="D301" s="295"/>
      <c r="E301" s="295"/>
      <c r="F301" s="295"/>
      <c r="G301" s="295"/>
      <c r="H301" s="295"/>
      <c r="I301" s="295"/>
      <c r="J301" s="295"/>
      <c r="K301" s="295"/>
      <c r="L301" s="295"/>
      <c r="M301" s="295"/>
      <c r="N301" s="750"/>
      <c r="O301" s="295"/>
      <c r="P301" s="295"/>
      <c r="Q301" s="295"/>
      <c r="R301" s="295"/>
      <c r="S301" s="295"/>
      <c r="T301" s="295"/>
      <c r="U301" s="295"/>
      <c r="V301" s="295"/>
      <c r="W301" s="295"/>
      <c r="X301" s="295"/>
      <c r="Y301" s="760">
        <f>Y300</f>
        <v>0</v>
      </c>
      <c r="Z301" s="760">
        <f>Z300</f>
        <v>0</v>
      </c>
      <c r="AA301" s="760">
        <f t="shared" si="157" ref="AA301:AE301">AA300</f>
        <v>0</v>
      </c>
      <c r="AB301" s="760">
        <f t="shared" si="157"/>
        <v>0</v>
      </c>
      <c r="AC301" s="760">
        <f t="shared" si="157"/>
        <v>0</v>
      </c>
      <c r="AD301" s="760">
        <f t="shared" si="157"/>
        <v>0</v>
      </c>
      <c r="AE301" s="760">
        <f t="shared" si="157"/>
        <v>0</v>
      </c>
      <c r="AF301" s="410">
        <f t="shared" si="158" ref="AF301:AL301">AF300</f>
        <v>0</v>
      </c>
      <c r="AG301" s="410">
        <f t="shared" si="158"/>
        <v>0</v>
      </c>
      <c r="AH301" s="410">
        <f t="shared" si="158"/>
        <v>0</v>
      </c>
      <c r="AI301" s="410">
        <f t="shared" si="158"/>
        <v>0</v>
      </c>
      <c r="AJ301" s="410">
        <f t="shared" si="158"/>
        <v>0</v>
      </c>
      <c r="AK301" s="410">
        <f t="shared" si="158"/>
        <v>0</v>
      </c>
      <c r="AL301" s="410">
        <f t="shared" si="158"/>
        <v>0</v>
      </c>
      <c r="AM301" s="297"/>
    </row>
    <row r="302" spans="1:39" s="283" customFormat="1" ht="15.5" outlineLevel="1">
      <c r="A302" s="503"/>
      <c r="B302" s="294"/>
      <c r="C302" s="305"/>
      <c r="D302" s="753"/>
      <c r="E302" s="753"/>
      <c r="F302" s="753"/>
      <c r="G302" s="753"/>
      <c r="H302" s="753"/>
      <c r="I302" s="753"/>
      <c r="J302" s="753"/>
      <c r="K302" s="753"/>
      <c r="L302" s="753"/>
      <c r="M302" s="753"/>
      <c r="N302" s="750"/>
      <c r="O302" s="753"/>
      <c r="P302" s="753"/>
      <c r="Q302" s="753"/>
      <c r="R302" s="753"/>
      <c r="S302" s="753"/>
      <c r="T302" s="753"/>
      <c r="U302" s="753"/>
      <c r="V302" s="753"/>
      <c r="W302" s="753"/>
      <c r="X302" s="753"/>
      <c r="Y302" s="761"/>
      <c r="Z302" s="761"/>
      <c r="AA302" s="761"/>
      <c r="AB302" s="761"/>
      <c r="AC302" s="761"/>
      <c r="AD302" s="761"/>
      <c r="AE302" s="761"/>
      <c r="AF302" s="411"/>
      <c r="AG302" s="411"/>
      <c r="AH302" s="411"/>
      <c r="AI302" s="411"/>
      <c r="AJ302" s="411"/>
      <c r="AK302" s="411"/>
      <c r="AL302" s="411"/>
      <c r="AM302" s="306"/>
    </row>
    <row r="303" spans="1:39" ht="15.5" outlineLevel="1">
      <c r="A303" s="503">
        <v>9</v>
      </c>
      <c r="B303" s="294" t="s">
        <v>7</v>
      </c>
      <c r="C303" s="291" t="s">
        <v>25</v>
      </c>
      <c r="D303" s="295"/>
      <c r="E303" s="295"/>
      <c r="F303" s="295"/>
      <c r="G303" s="295"/>
      <c r="H303" s="295"/>
      <c r="I303" s="295"/>
      <c r="J303" s="295"/>
      <c r="K303" s="295"/>
      <c r="L303" s="295"/>
      <c r="M303" s="295"/>
      <c r="N303" s="750"/>
      <c r="O303" s="295"/>
      <c r="P303" s="295"/>
      <c r="Q303" s="295"/>
      <c r="R303" s="295"/>
      <c r="S303" s="295"/>
      <c r="T303" s="295"/>
      <c r="U303" s="295"/>
      <c r="V303" s="295"/>
      <c r="W303" s="295"/>
      <c r="X303" s="295"/>
      <c r="Y303" s="759"/>
      <c r="Z303" s="759"/>
      <c r="AA303" s="759"/>
      <c r="AB303" s="759"/>
      <c r="AC303" s="759"/>
      <c r="AD303" s="759"/>
      <c r="AE303" s="759"/>
      <c r="AF303" s="409"/>
      <c r="AG303" s="409"/>
      <c r="AH303" s="409"/>
      <c r="AI303" s="409"/>
      <c r="AJ303" s="409"/>
      <c r="AK303" s="409"/>
      <c r="AL303" s="409"/>
      <c r="AM303" s="296">
        <f>SUM(Y303:AL303)</f>
        <v>0</v>
      </c>
    </row>
    <row r="304" spans="2:39" ht="15.5" outlineLevel="1">
      <c r="B304" s="294" t="s">
        <v>249</v>
      </c>
      <c r="C304" s="291" t="s">
        <v>163</v>
      </c>
      <c r="D304" s="295"/>
      <c r="E304" s="295"/>
      <c r="F304" s="295"/>
      <c r="G304" s="295"/>
      <c r="H304" s="295"/>
      <c r="I304" s="295"/>
      <c r="J304" s="295"/>
      <c r="K304" s="295"/>
      <c r="L304" s="295"/>
      <c r="M304" s="295"/>
      <c r="N304" s="750"/>
      <c r="O304" s="295"/>
      <c r="P304" s="295"/>
      <c r="Q304" s="295"/>
      <c r="R304" s="295"/>
      <c r="S304" s="295"/>
      <c r="T304" s="295"/>
      <c r="U304" s="295"/>
      <c r="V304" s="295"/>
      <c r="W304" s="295"/>
      <c r="X304" s="295"/>
      <c r="Y304" s="760">
        <f>Y303</f>
        <v>0</v>
      </c>
      <c r="Z304" s="760">
        <f>Z303</f>
        <v>0</v>
      </c>
      <c r="AA304" s="760">
        <f t="shared" si="159" ref="AA304:AE304">AA303</f>
        <v>0</v>
      </c>
      <c r="AB304" s="760">
        <f t="shared" si="159"/>
        <v>0</v>
      </c>
      <c r="AC304" s="760">
        <f t="shared" si="159"/>
        <v>0</v>
      </c>
      <c r="AD304" s="760">
        <f t="shared" si="159"/>
        <v>0</v>
      </c>
      <c r="AE304" s="760">
        <f t="shared" si="159"/>
        <v>0</v>
      </c>
      <c r="AF304" s="410">
        <f t="shared" si="160" ref="AF304:AL304">AF303</f>
        <v>0</v>
      </c>
      <c r="AG304" s="410">
        <f t="shared" si="160"/>
        <v>0</v>
      </c>
      <c r="AH304" s="410">
        <f t="shared" si="160"/>
        <v>0</v>
      </c>
      <c r="AI304" s="410">
        <f t="shared" si="160"/>
        <v>0</v>
      </c>
      <c r="AJ304" s="410">
        <f t="shared" si="160"/>
        <v>0</v>
      </c>
      <c r="AK304" s="410">
        <f t="shared" si="160"/>
        <v>0</v>
      </c>
      <c r="AL304" s="410">
        <f t="shared" si="160"/>
        <v>0</v>
      </c>
      <c r="AM304" s="297"/>
    </row>
    <row r="305" spans="2:39" ht="15.5" outlineLevel="1">
      <c r="B305" s="307"/>
      <c r="C305" s="308"/>
      <c r="D305" s="750"/>
      <c r="E305" s="750"/>
      <c r="F305" s="750"/>
      <c r="G305" s="750"/>
      <c r="H305" s="750"/>
      <c r="I305" s="750"/>
      <c r="J305" s="750"/>
      <c r="K305" s="750"/>
      <c r="L305" s="750"/>
      <c r="M305" s="750"/>
      <c r="N305" s="750"/>
      <c r="O305" s="750"/>
      <c r="P305" s="750"/>
      <c r="Q305" s="750"/>
      <c r="R305" s="750"/>
      <c r="S305" s="750"/>
      <c r="T305" s="750"/>
      <c r="U305" s="750"/>
      <c r="V305" s="750"/>
      <c r="W305" s="750"/>
      <c r="X305" s="750"/>
      <c r="Y305" s="761"/>
      <c r="Z305" s="761"/>
      <c r="AA305" s="761"/>
      <c r="AB305" s="761"/>
      <c r="AC305" s="761"/>
      <c r="AD305" s="761"/>
      <c r="AE305" s="761"/>
      <c r="AF305" s="411"/>
      <c r="AG305" s="411"/>
      <c r="AH305" s="411"/>
      <c r="AI305" s="411"/>
      <c r="AJ305" s="411"/>
      <c r="AK305" s="411"/>
      <c r="AL305" s="411"/>
      <c r="AM305" s="306"/>
    </row>
    <row r="306" spans="1:39" ht="15.5" outlineLevel="1">
      <c r="A306" s="504"/>
      <c r="B306" s="288" t="s">
        <v>8</v>
      </c>
      <c r="C306" s="289"/>
      <c r="D306" s="754"/>
      <c r="E306" s="754"/>
      <c r="F306" s="754"/>
      <c r="G306" s="754"/>
      <c r="H306" s="754"/>
      <c r="I306" s="754"/>
      <c r="J306" s="754"/>
      <c r="K306" s="754"/>
      <c r="L306" s="754"/>
      <c r="M306" s="754"/>
      <c r="N306" s="750"/>
      <c r="O306" s="754"/>
      <c r="P306" s="754"/>
      <c r="Q306" s="754"/>
      <c r="R306" s="754"/>
      <c r="S306" s="754"/>
      <c r="T306" s="754"/>
      <c r="U306" s="754"/>
      <c r="V306" s="754"/>
      <c r="W306" s="754"/>
      <c r="X306" s="754"/>
      <c r="Y306" s="763"/>
      <c r="Z306" s="763"/>
      <c r="AA306" s="763"/>
      <c r="AB306" s="763"/>
      <c r="AC306" s="763"/>
      <c r="AD306" s="763"/>
      <c r="AE306" s="763"/>
      <c r="AF306" s="413"/>
      <c r="AG306" s="413"/>
      <c r="AH306" s="413"/>
      <c r="AI306" s="413"/>
      <c r="AJ306" s="413"/>
      <c r="AK306" s="413"/>
      <c r="AL306" s="413"/>
      <c r="AM306" s="292"/>
    </row>
    <row r="307" spans="1:39" ht="15.5" outlineLevel="1">
      <c r="A307" s="503">
        <v>10</v>
      </c>
      <c r="B307" s="310" t="s">
        <v>22</v>
      </c>
      <c r="C307" s="291" t="s">
        <v>25</v>
      </c>
      <c r="D307" s="295">
        <f>'7.  Persistence Report'!AS69</f>
        <v>647284.91383379896</v>
      </c>
      <c r="E307" s="295">
        <f>'7.  Persistence Report'!AT69</f>
        <v>647284.91383379896</v>
      </c>
      <c r="F307" s="295">
        <f>'7.  Persistence Report'!AU69</f>
        <v>647284.91383379896</v>
      </c>
      <c r="G307" s="295">
        <f>'7.  Persistence Report'!AV69</f>
        <v>647284.91383379896</v>
      </c>
      <c r="H307" s="295">
        <f>'7.  Persistence Report'!AW69</f>
        <v>615669.13779226795</v>
      </c>
      <c r="I307" s="295">
        <f>'7.  Persistence Report'!AX69</f>
        <v>609425.359642228</v>
      </c>
      <c r="J307" s="295">
        <f>'7.  Persistence Report'!AY69</f>
        <v>609425.359642228</v>
      </c>
      <c r="K307" s="295">
        <f>'7.  Persistence Report'!AZ69</f>
        <v>608780.52312198002</v>
      </c>
      <c r="L307" s="295">
        <f>'7.  Persistence Report'!BA69</f>
        <v>598389.972668253</v>
      </c>
      <c r="M307" s="295">
        <f>'7.  Persistence Report'!BB69</f>
        <v>552874.35473022505</v>
      </c>
      <c r="N307" s="295">
        <v>12</v>
      </c>
      <c r="O307" s="295">
        <f>'7.  Persistence Report'!N69</f>
        <v>131.40544271100001</v>
      </c>
      <c r="P307" s="295">
        <f>'7.  Persistence Report'!O69</f>
        <v>131.40544271100001</v>
      </c>
      <c r="Q307" s="295">
        <f>'7.  Persistence Report'!P69</f>
        <v>131.40544271100001</v>
      </c>
      <c r="R307" s="295">
        <f>'7.  Persistence Report'!Q69</f>
        <v>131.40544271100001</v>
      </c>
      <c r="S307" s="295">
        <f>'7.  Persistence Report'!R69</f>
        <v>121.25499490999999</v>
      </c>
      <c r="T307" s="295">
        <f>'7.  Persistence Report'!S69</f>
        <v>119.823771686</v>
      </c>
      <c r="U307" s="295">
        <f>'7.  Persistence Report'!T69</f>
        <v>119.823771686</v>
      </c>
      <c r="V307" s="295">
        <f>'7.  Persistence Report'!U69</f>
        <v>119.784569175</v>
      </c>
      <c r="W307" s="295">
        <f>'7.  Persistence Report'!V69</f>
        <v>116.55814004</v>
      </c>
      <c r="X307" s="295">
        <f>'7.  Persistence Report'!W69</f>
        <v>106.12487224900001</v>
      </c>
      <c r="Y307" s="778"/>
      <c r="Z307" s="497">
        <v>0.4577</v>
      </c>
      <c r="AA307" s="497">
        <v>0.37409999999999999</v>
      </c>
      <c r="AB307" s="497">
        <v>0.16819999999999999</v>
      </c>
      <c r="AC307" s="764"/>
      <c r="AD307" s="764"/>
      <c r="AE307" s="764"/>
      <c r="AF307" s="414"/>
      <c r="AG307" s="414"/>
      <c r="AH307" s="414"/>
      <c r="AI307" s="414"/>
      <c r="AJ307" s="414"/>
      <c r="AK307" s="414"/>
      <c r="AL307" s="414"/>
      <c r="AM307" s="296">
        <f>SUM(Y307:AL307)</f>
        <v>1</v>
      </c>
    </row>
    <row r="308" spans="2:39" ht="15.5" outlineLevel="1">
      <c r="B308" s="294" t="s">
        <v>249</v>
      </c>
      <c r="C308" s="291" t="s">
        <v>163</v>
      </c>
      <c r="D308" s="295">
        <f>'7.  Persistence Report'!AS80</f>
        <v>130237.07419999999</v>
      </c>
      <c r="E308" s="295">
        <f>'7.  Persistence Report'!AT80</f>
        <v>130237.07419999999</v>
      </c>
      <c r="F308" s="295">
        <f>'7.  Persistence Report'!AU80</f>
        <v>130237.07419999999</v>
      </c>
      <c r="G308" s="295">
        <f>'7.  Persistence Report'!AV80</f>
        <v>130237.07419999999</v>
      </c>
      <c r="H308" s="295">
        <f>'7.  Persistence Report'!AW80</f>
        <v>130237.07419999999</v>
      </c>
      <c r="I308" s="295">
        <f>'7.  Persistence Report'!AX80</f>
        <v>125013.6348</v>
      </c>
      <c r="J308" s="295">
        <f>'7.  Persistence Report'!AY80</f>
        <v>125013.6348</v>
      </c>
      <c r="K308" s="295">
        <f>'7.  Persistence Report'!AZ80</f>
        <v>124715.5583</v>
      </c>
      <c r="L308" s="295">
        <f>'7.  Persistence Report'!BA80</f>
        <v>120747.0699</v>
      </c>
      <c r="M308" s="295">
        <f>'7.  Persistence Report'!BB80</f>
        <v>82669.472970000003</v>
      </c>
      <c r="N308" s="295">
        <f>N307</f>
        <v>12</v>
      </c>
      <c r="O308" s="295">
        <f>'7.  Persistence Report'!N80</f>
        <v>14.63705466</v>
      </c>
      <c r="P308" s="295">
        <f>'7.  Persistence Report'!O80</f>
        <v>14.63705466</v>
      </c>
      <c r="Q308" s="295">
        <f>'7.  Persistence Report'!P80</f>
        <v>14.63705466</v>
      </c>
      <c r="R308" s="295">
        <f>'7.  Persistence Report'!Q80</f>
        <v>14.63705466</v>
      </c>
      <c r="S308" s="295">
        <f>'7.  Persistence Report'!R80</f>
        <v>14.63705466</v>
      </c>
      <c r="T308" s="295">
        <f>'7.  Persistence Report'!S80</f>
        <v>14.125882280000001</v>
      </c>
      <c r="U308" s="295">
        <f>'7.  Persistence Report'!T80</f>
        <v>14.125882280000001</v>
      </c>
      <c r="V308" s="295">
        <f>'7.  Persistence Report'!U80</f>
        <v>14.125882280000001</v>
      </c>
      <c r="W308" s="295">
        <f>'7.  Persistence Report'!V80</f>
        <v>13.04284116</v>
      </c>
      <c r="X308" s="295">
        <f>'7.  Persistence Report'!W80</f>
        <v>9.3165193750000004</v>
      </c>
      <c r="Y308" s="760">
        <f>Y307</f>
        <v>0</v>
      </c>
      <c r="Z308" s="760">
        <f>Z307</f>
        <v>0.4577</v>
      </c>
      <c r="AA308" s="760">
        <f t="shared" si="161" ref="AA308:AE308">AA307</f>
        <v>0.37409999999999999</v>
      </c>
      <c r="AB308" s="760">
        <f t="shared" si="161"/>
        <v>0.16819999999999999</v>
      </c>
      <c r="AC308" s="760">
        <f t="shared" si="161"/>
        <v>0</v>
      </c>
      <c r="AD308" s="760">
        <f t="shared" si="161"/>
        <v>0</v>
      </c>
      <c r="AE308" s="760">
        <f t="shared" si="161"/>
        <v>0</v>
      </c>
      <c r="AF308" s="410">
        <f t="shared" si="162" ref="AF308:AL308">AF307</f>
        <v>0</v>
      </c>
      <c r="AG308" s="410">
        <f t="shared" si="162"/>
        <v>0</v>
      </c>
      <c r="AH308" s="410">
        <f t="shared" si="162"/>
        <v>0</v>
      </c>
      <c r="AI308" s="410">
        <f t="shared" si="162"/>
        <v>0</v>
      </c>
      <c r="AJ308" s="410">
        <f t="shared" si="162"/>
        <v>0</v>
      </c>
      <c r="AK308" s="410">
        <f t="shared" si="162"/>
        <v>0</v>
      </c>
      <c r="AL308" s="410">
        <f t="shared" si="162"/>
        <v>0</v>
      </c>
      <c r="AM308" s="311"/>
    </row>
    <row r="309" spans="2:39" ht="15.5" outlineLevel="1">
      <c r="B309" s="310"/>
      <c r="C309" s="312"/>
      <c r="D309" s="750"/>
      <c r="E309" s="750"/>
      <c r="F309" s="750"/>
      <c r="G309" s="750"/>
      <c r="H309" s="750"/>
      <c r="I309" s="750"/>
      <c r="J309" s="750"/>
      <c r="K309" s="750"/>
      <c r="L309" s="750"/>
      <c r="M309" s="750"/>
      <c r="N309" s="750"/>
      <c r="O309" s="750"/>
      <c r="P309" s="750"/>
      <c r="Q309" s="750"/>
      <c r="R309" s="750"/>
      <c r="S309" s="750"/>
      <c r="T309" s="750"/>
      <c r="U309" s="750"/>
      <c r="V309" s="750"/>
      <c r="W309" s="750"/>
      <c r="X309" s="750"/>
      <c r="Y309" s="765"/>
      <c r="Z309" s="765"/>
      <c r="AA309" s="765"/>
      <c r="AB309" s="765"/>
      <c r="AC309" s="765"/>
      <c r="AD309" s="765"/>
      <c r="AE309" s="765"/>
      <c r="AF309" s="415"/>
      <c r="AG309" s="415"/>
      <c r="AH309" s="415"/>
      <c r="AI309" s="415"/>
      <c r="AJ309" s="415"/>
      <c r="AK309" s="415"/>
      <c r="AL309" s="415"/>
      <c r="AM309" s="313"/>
    </row>
    <row r="310" spans="1:39" ht="15.5" outlineLevel="1">
      <c r="A310" s="503">
        <v>11</v>
      </c>
      <c r="B310" s="314" t="s">
        <v>21</v>
      </c>
      <c r="C310" s="291" t="s">
        <v>25</v>
      </c>
      <c r="D310" s="295">
        <f>'7.  Persistence Report'!AS70</f>
        <v>31354.988014428</v>
      </c>
      <c r="E310" s="295">
        <f>'7.  Persistence Report'!AT70</f>
        <v>31354.988014428</v>
      </c>
      <c r="F310" s="295">
        <f>'7.  Persistence Report'!AU70</f>
        <v>31354.988014428</v>
      </c>
      <c r="G310" s="295">
        <f>'7.  Persistence Report'!AV70</f>
        <v>27001.969324494999</v>
      </c>
      <c r="H310" s="295">
        <f>'7.  Persistence Report'!AW70</f>
        <v>13238.84886783</v>
      </c>
      <c r="I310" s="295">
        <f>'7.  Persistence Report'!AX70</f>
        <v>13238.84886783</v>
      </c>
      <c r="J310" s="295">
        <f>'7.  Persistence Report'!AY70</f>
        <v>13238.84886783</v>
      </c>
      <c r="K310" s="295">
        <f>'7.  Persistence Report'!AZ70</f>
        <v>13238.84886783</v>
      </c>
      <c r="L310" s="295">
        <f>'7.  Persistence Report'!BA70</f>
        <v>13238.84886783</v>
      </c>
      <c r="M310" s="295">
        <f>'7.  Persistence Report'!BB70</f>
        <v>13238.84886783</v>
      </c>
      <c r="N310" s="295">
        <v>12</v>
      </c>
      <c r="O310" s="295">
        <f>'7.  Persistence Report'!N70</f>
        <v>9.2488218839999998</v>
      </c>
      <c r="P310" s="295">
        <f>'7.  Persistence Report'!O70</f>
        <v>9.2488218839999998</v>
      </c>
      <c r="Q310" s="295">
        <f>'7.  Persistence Report'!P70</f>
        <v>9.2488218839999998</v>
      </c>
      <c r="R310" s="295">
        <f>'7.  Persistence Report'!Q70</f>
        <v>8.2993376750000003</v>
      </c>
      <c r="S310" s="295">
        <f>'7.  Persistence Report'!R70</f>
        <v>3.898651353</v>
      </c>
      <c r="T310" s="295">
        <f>'7.  Persistence Report'!S70</f>
        <v>3.898651353</v>
      </c>
      <c r="U310" s="295">
        <f>'7.  Persistence Report'!T70</f>
        <v>3.898651353</v>
      </c>
      <c r="V310" s="295">
        <f>'7.  Persistence Report'!U70</f>
        <v>3.898651353</v>
      </c>
      <c r="W310" s="295">
        <f>'7.  Persistence Report'!V70</f>
        <v>3.898651353</v>
      </c>
      <c r="X310" s="295">
        <f>'7.  Persistence Report'!W70</f>
        <v>3.898651353</v>
      </c>
      <c r="Y310" s="764"/>
      <c r="Z310" s="497">
        <v>1</v>
      </c>
      <c r="AA310" s="764">
        <v>0</v>
      </c>
      <c r="AB310" s="764"/>
      <c r="AC310" s="764"/>
      <c r="AD310" s="764"/>
      <c r="AE310" s="764"/>
      <c r="AF310" s="414"/>
      <c r="AG310" s="414"/>
      <c r="AH310" s="414"/>
      <c r="AI310" s="414"/>
      <c r="AJ310" s="414"/>
      <c r="AK310" s="414"/>
      <c r="AL310" s="414"/>
      <c r="AM310" s="296">
        <f>SUM(Y310:AL310)</f>
        <v>1</v>
      </c>
    </row>
    <row r="311" spans="2: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60">
        <f>Y310</f>
        <v>0</v>
      </c>
      <c r="Z311" s="760">
        <f>Z310</f>
        <v>1</v>
      </c>
      <c r="AA311" s="760">
        <f t="shared" si="163" ref="AA311:AE311">AA310</f>
        <v>0</v>
      </c>
      <c r="AB311" s="760">
        <f t="shared" si="163"/>
        <v>0</v>
      </c>
      <c r="AC311" s="760">
        <f t="shared" si="163"/>
        <v>0</v>
      </c>
      <c r="AD311" s="760">
        <f t="shared" si="163"/>
        <v>0</v>
      </c>
      <c r="AE311" s="760">
        <f t="shared" si="163"/>
        <v>0</v>
      </c>
      <c r="AF311" s="410">
        <f t="shared" si="164" ref="AF311:AL311">AF310</f>
        <v>0</v>
      </c>
      <c r="AG311" s="410">
        <f t="shared" si="164"/>
        <v>0</v>
      </c>
      <c r="AH311" s="410">
        <f t="shared" si="164"/>
        <v>0</v>
      </c>
      <c r="AI311" s="410">
        <f t="shared" si="164"/>
        <v>0</v>
      </c>
      <c r="AJ311" s="410">
        <f t="shared" si="164"/>
        <v>0</v>
      </c>
      <c r="AK311" s="410">
        <f t="shared" si="164"/>
        <v>0</v>
      </c>
      <c r="AL311" s="410">
        <f t="shared" si="164"/>
        <v>0</v>
      </c>
      <c r="AM311" s="311"/>
    </row>
    <row r="312" spans="2:39" ht="15.5" outlineLevel="1">
      <c r="B312" s="314"/>
      <c r="C312" s="312"/>
      <c r="D312" s="750"/>
      <c r="E312" s="750"/>
      <c r="F312" s="750"/>
      <c r="G312" s="750"/>
      <c r="H312" s="750"/>
      <c r="I312" s="750"/>
      <c r="J312" s="750"/>
      <c r="K312" s="750"/>
      <c r="L312" s="750"/>
      <c r="M312" s="750"/>
      <c r="N312" s="750"/>
      <c r="O312" s="750"/>
      <c r="P312" s="750"/>
      <c r="Q312" s="750"/>
      <c r="R312" s="750"/>
      <c r="S312" s="750"/>
      <c r="T312" s="750"/>
      <c r="U312" s="750"/>
      <c r="V312" s="750"/>
      <c r="W312" s="750"/>
      <c r="X312" s="750"/>
      <c r="Y312" s="765"/>
      <c r="Z312" s="766"/>
      <c r="AA312" s="765"/>
      <c r="AB312" s="765"/>
      <c r="AC312" s="765"/>
      <c r="AD312" s="765"/>
      <c r="AE312" s="765"/>
      <c r="AF312" s="415"/>
      <c r="AG312" s="415"/>
      <c r="AH312" s="415"/>
      <c r="AI312" s="415"/>
      <c r="AJ312" s="415"/>
      <c r="AK312" s="415"/>
      <c r="AL312" s="415"/>
      <c r="AM312" s="313"/>
    </row>
    <row r="313" spans="1:39" ht="15.5" outlineLevel="1">
      <c r="A313" s="503">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64"/>
      <c r="Z313" s="764"/>
      <c r="AA313" s="764"/>
      <c r="AB313" s="764"/>
      <c r="AC313" s="764"/>
      <c r="AD313" s="764"/>
      <c r="AE313" s="764"/>
      <c r="AF313" s="414"/>
      <c r="AG313" s="414"/>
      <c r="AH313" s="414"/>
      <c r="AI313" s="414"/>
      <c r="AJ313" s="414"/>
      <c r="AK313" s="414"/>
      <c r="AL313" s="414"/>
      <c r="AM313" s="296">
        <f>SUM(Y313:AL313)</f>
        <v>0</v>
      </c>
    </row>
    <row r="314" spans="2: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60">
        <f>Y313</f>
        <v>0</v>
      </c>
      <c r="Z314" s="760">
        <f>Z313</f>
        <v>0</v>
      </c>
      <c r="AA314" s="760">
        <f t="shared" si="165" ref="AA314:AE314">AA313</f>
        <v>0</v>
      </c>
      <c r="AB314" s="760">
        <f t="shared" si="165"/>
        <v>0</v>
      </c>
      <c r="AC314" s="760">
        <f t="shared" si="165"/>
        <v>0</v>
      </c>
      <c r="AD314" s="760">
        <f t="shared" si="165"/>
        <v>0</v>
      </c>
      <c r="AE314" s="760">
        <f t="shared" si="165"/>
        <v>0</v>
      </c>
      <c r="AF314" s="410">
        <f t="shared" si="166" ref="AF314:AL314">AF313</f>
        <v>0</v>
      </c>
      <c r="AG314" s="410">
        <f t="shared" si="166"/>
        <v>0</v>
      </c>
      <c r="AH314" s="410">
        <f t="shared" si="166"/>
        <v>0</v>
      </c>
      <c r="AI314" s="410">
        <f t="shared" si="166"/>
        <v>0</v>
      </c>
      <c r="AJ314" s="410">
        <f t="shared" si="166"/>
        <v>0</v>
      </c>
      <c r="AK314" s="410">
        <f t="shared" si="166"/>
        <v>0</v>
      </c>
      <c r="AL314" s="410">
        <f t="shared" si="166"/>
        <v>0</v>
      </c>
      <c r="AM314" s="311"/>
    </row>
    <row r="315" spans="2:39" ht="15.5" outlineLevel="1">
      <c r="B315" s="314"/>
      <c r="C315" s="312"/>
      <c r="D315" s="755"/>
      <c r="E315" s="755"/>
      <c r="F315" s="755"/>
      <c r="G315" s="755"/>
      <c r="H315" s="755"/>
      <c r="I315" s="755"/>
      <c r="J315" s="755"/>
      <c r="K315" s="755"/>
      <c r="L315" s="755"/>
      <c r="M315" s="755"/>
      <c r="N315" s="750"/>
      <c r="O315" s="755"/>
      <c r="P315" s="755"/>
      <c r="Q315" s="755"/>
      <c r="R315" s="755"/>
      <c r="S315" s="755"/>
      <c r="T315" s="755"/>
      <c r="U315" s="755"/>
      <c r="V315" s="755"/>
      <c r="W315" s="755"/>
      <c r="X315" s="755"/>
      <c r="Y315" s="765"/>
      <c r="Z315" s="766"/>
      <c r="AA315" s="765"/>
      <c r="AB315" s="765"/>
      <c r="AC315" s="765"/>
      <c r="AD315" s="765"/>
      <c r="AE315" s="765"/>
      <c r="AF315" s="415"/>
      <c r="AG315" s="415"/>
      <c r="AH315" s="415"/>
      <c r="AI315" s="415"/>
      <c r="AJ315" s="415"/>
      <c r="AK315" s="415"/>
      <c r="AL315" s="415"/>
      <c r="AM315" s="313"/>
    </row>
    <row r="316" spans="1:39" ht="15.5" outlineLevel="1">
      <c r="A316" s="503">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764"/>
      <c r="Z316" s="764"/>
      <c r="AA316" s="764"/>
      <c r="AB316" s="764"/>
      <c r="AC316" s="764"/>
      <c r="AD316" s="764"/>
      <c r="AE316" s="764"/>
      <c r="AF316" s="414"/>
      <c r="AG316" s="414"/>
      <c r="AH316" s="414"/>
      <c r="AI316" s="414"/>
      <c r="AJ316" s="414"/>
      <c r="AK316" s="414"/>
      <c r="AL316" s="414"/>
      <c r="AM316" s="296">
        <f>SUM(Y316:AL316)</f>
        <v>0</v>
      </c>
    </row>
    <row r="317" spans="2: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60">
        <f>Y316</f>
        <v>0</v>
      </c>
      <c r="Z317" s="760">
        <f>Z316</f>
        <v>0</v>
      </c>
      <c r="AA317" s="760">
        <f t="shared" si="167" ref="AA317:AE317">AA316</f>
        <v>0</v>
      </c>
      <c r="AB317" s="760">
        <f t="shared" si="167"/>
        <v>0</v>
      </c>
      <c r="AC317" s="760">
        <f t="shared" si="167"/>
        <v>0</v>
      </c>
      <c r="AD317" s="760">
        <f t="shared" si="167"/>
        <v>0</v>
      </c>
      <c r="AE317" s="760">
        <f t="shared" si="167"/>
        <v>0</v>
      </c>
      <c r="AF317" s="410">
        <f t="shared" si="168" ref="AF317:AL317">AF316</f>
        <v>0</v>
      </c>
      <c r="AG317" s="410">
        <f t="shared" si="168"/>
        <v>0</v>
      </c>
      <c r="AH317" s="410">
        <f t="shared" si="168"/>
        <v>0</v>
      </c>
      <c r="AI317" s="410">
        <f t="shared" si="168"/>
        <v>0</v>
      </c>
      <c r="AJ317" s="410">
        <f t="shared" si="168"/>
        <v>0</v>
      </c>
      <c r="AK317" s="410">
        <f t="shared" si="168"/>
        <v>0</v>
      </c>
      <c r="AL317" s="410">
        <f t="shared" si="168"/>
        <v>0</v>
      </c>
      <c r="AM317" s="311"/>
    </row>
    <row r="318" spans="2:39" ht="15.5" outlineLevel="1">
      <c r="B318" s="314"/>
      <c r="C318" s="312"/>
      <c r="D318" s="755"/>
      <c r="E318" s="755"/>
      <c r="F318" s="755"/>
      <c r="G318" s="755"/>
      <c r="H318" s="755"/>
      <c r="I318" s="755"/>
      <c r="J318" s="755"/>
      <c r="K318" s="755"/>
      <c r="L318" s="755"/>
      <c r="M318" s="755"/>
      <c r="N318" s="750"/>
      <c r="O318" s="755"/>
      <c r="P318" s="755"/>
      <c r="Q318" s="755"/>
      <c r="R318" s="755"/>
      <c r="S318" s="755"/>
      <c r="T318" s="755"/>
      <c r="U318" s="755"/>
      <c r="V318" s="755"/>
      <c r="W318" s="755"/>
      <c r="X318" s="755"/>
      <c r="Y318" s="765"/>
      <c r="Z318" s="765"/>
      <c r="AA318" s="765"/>
      <c r="AB318" s="765"/>
      <c r="AC318" s="765"/>
      <c r="AD318" s="765"/>
      <c r="AE318" s="765"/>
      <c r="AF318" s="415"/>
      <c r="AG318" s="415"/>
      <c r="AH318" s="415"/>
      <c r="AI318" s="415"/>
      <c r="AJ318" s="415"/>
      <c r="AK318" s="415"/>
      <c r="AL318" s="415"/>
      <c r="AM318" s="313"/>
    </row>
    <row r="319" spans="1:39" ht="15.5" outlineLevel="1">
      <c r="A319" s="503">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64"/>
      <c r="Z319" s="764">
        <v>0.5</v>
      </c>
      <c r="AA319" s="497">
        <v>0.5</v>
      </c>
      <c r="AB319" s="764"/>
      <c r="AC319" s="764"/>
      <c r="AD319" s="764"/>
      <c r="AE319" s="764"/>
      <c r="AF319" s="414"/>
      <c r="AG319" s="414"/>
      <c r="AH319" s="414"/>
      <c r="AI319" s="414"/>
      <c r="AJ319" s="414"/>
      <c r="AK319" s="414"/>
      <c r="AL319" s="414"/>
      <c r="AM319" s="296">
        <f>SUM(Y319:AL319)</f>
        <v>1</v>
      </c>
    </row>
    <row r="320" spans="2:39" ht="15.5" outlineLevel="1">
      <c r="B320" s="294" t="s">
        <v>249</v>
      </c>
      <c r="C320" s="291" t="s">
        <v>163</v>
      </c>
      <c r="D320" s="295">
        <f>'7.  Persistence Report'!AS79</f>
        <v>921175.15489999996</v>
      </c>
      <c r="E320" s="295">
        <f>'7.  Persistence Report'!AT79</f>
        <v>921175.15489999996</v>
      </c>
      <c r="F320" s="295">
        <f>'7.  Persistence Report'!AU79</f>
        <v>921175.15489999996</v>
      </c>
      <c r="G320" s="295">
        <f>'7.  Persistence Report'!AV79</f>
        <v>921175.15489999996</v>
      </c>
      <c r="H320" s="295">
        <f>'7.  Persistence Report'!AW79</f>
        <v>0</v>
      </c>
      <c r="I320" s="295">
        <f>'7.  Persistence Report'!AX79</f>
        <v>0</v>
      </c>
      <c r="J320" s="295">
        <f>'7.  Persistence Report'!AY79</f>
        <v>0</v>
      </c>
      <c r="K320" s="295">
        <f>'7.  Persistence Report'!AZ79</f>
        <v>0</v>
      </c>
      <c r="L320" s="295">
        <f>'7.  Persistence Report'!BA79</f>
        <v>0</v>
      </c>
      <c r="M320" s="295">
        <f>'7.  Persistence Report'!BB79</f>
        <v>0</v>
      </c>
      <c r="N320" s="295">
        <f>N319</f>
        <v>12</v>
      </c>
      <c r="O320" s="295">
        <f>'7.  Persistence Report'!N79</f>
        <v>167.55191139999999</v>
      </c>
      <c r="P320" s="295">
        <f>'7.  Persistence Report'!O79</f>
        <v>167.55191139999999</v>
      </c>
      <c r="Q320" s="295">
        <f>'7.  Persistence Report'!P79</f>
        <v>167.55191139999999</v>
      </c>
      <c r="R320" s="295">
        <f>'7.  Persistence Report'!Q79</f>
        <v>167.55191139999999</v>
      </c>
      <c r="S320" s="295">
        <f>'7.  Persistence Report'!R79</f>
        <v>0</v>
      </c>
      <c r="T320" s="295">
        <f>'7.  Persistence Report'!S79</f>
        <v>0</v>
      </c>
      <c r="U320" s="295">
        <f>'7.  Persistence Report'!T79</f>
        <v>0</v>
      </c>
      <c r="V320" s="295">
        <f>'7.  Persistence Report'!U79</f>
        <v>0</v>
      </c>
      <c r="W320" s="295">
        <f>'7.  Persistence Report'!V79</f>
        <v>0</v>
      </c>
      <c r="X320" s="295">
        <f>'7.  Persistence Report'!W79</f>
        <v>0</v>
      </c>
      <c r="Y320" s="760">
        <f>Y319</f>
        <v>0</v>
      </c>
      <c r="Z320" s="760">
        <f>Z319</f>
        <v>0.5</v>
      </c>
      <c r="AA320" s="760">
        <f t="shared" si="169" ref="AA320:AE320">AA319</f>
        <v>0.5</v>
      </c>
      <c r="AB320" s="760">
        <f t="shared" si="169"/>
        <v>0</v>
      </c>
      <c r="AC320" s="760">
        <f t="shared" si="169"/>
        <v>0</v>
      </c>
      <c r="AD320" s="760">
        <f t="shared" si="169"/>
        <v>0</v>
      </c>
      <c r="AE320" s="760">
        <f t="shared" si="169"/>
        <v>0</v>
      </c>
      <c r="AF320" s="410">
        <f t="shared" si="170" ref="AF320:AL320">AF319</f>
        <v>0</v>
      </c>
      <c r="AG320" s="410">
        <f t="shared" si="170"/>
        <v>0</v>
      </c>
      <c r="AH320" s="410">
        <f t="shared" si="170"/>
        <v>0</v>
      </c>
      <c r="AI320" s="410">
        <f t="shared" si="170"/>
        <v>0</v>
      </c>
      <c r="AJ320" s="410">
        <f t="shared" si="170"/>
        <v>0</v>
      </c>
      <c r="AK320" s="410">
        <f t="shared" si="170"/>
        <v>0</v>
      </c>
      <c r="AL320" s="410">
        <f t="shared" si="170"/>
        <v>0</v>
      </c>
      <c r="AM320" s="311"/>
    </row>
    <row r="321" spans="2:39" ht="15.5" outlineLevel="1">
      <c r="B321" s="314"/>
      <c r="C321" s="312"/>
      <c r="D321" s="755"/>
      <c r="E321" s="755"/>
      <c r="F321" s="755"/>
      <c r="G321" s="755"/>
      <c r="H321" s="755"/>
      <c r="I321" s="755"/>
      <c r="J321" s="755"/>
      <c r="K321" s="755"/>
      <c r="L321" s="755"/>
      <c r="M321" s="755"/>
      <c r="N321" s="750"/>
      <c r="O321" s="755"/>
      <c r="P321" s="755"/>
      <c r="Q321" s="755"/>
      <c r="R321" s="755"/>
      <c r="S321" s="755"/>
      <c r="T321" s="755"/>
      <c r="U321" s="755"/>
      <c r="V321" s="755"/>
      <c r="W321" s="755"/>
      <c r="X321" s="755"/>
      <c r="Y321" s="765"/>
      <c r="Z321" s="766"/>
      <c r="AA321" s="765"/>
      <c r="AB321" s="765"/>
      <c r="AC321" s="765"/>
      <c r="AD321" s="765"/>
      <c r="AE321" s="765"/>
      <c r="AF321" s="415"/>
      <c r="AG321" s="415"/>
      <c r="AH321" s="415"/>
      <c r="AI321" s="415"/>
      <c r="AJ321" s="415"/>
      <c r="AK321" s="415"/>
      <c r="AL321" s="415"/>
      <c r="AM321" s="313"/>
    </row>
    <row r="322" spans="1:39" s="283" customFormat="1" ht="15.5" outlineLevel="1">
      <c r="A322" s="503">
        <v>15</v>
      </c>
      <c r="B322" s="314" t="s">
        <v>485</v>
      </c>
      <c r="C322" s="291" t="s">
        <v>25</v>
      </c>
      <c r="D322" s="295"/>
      <c r="E322" s="295"/>
      <c r="F322" s="295"/>
      <c r="G322" s="295"/>
      <c r="H322" s="295"/>
      <c r="I322" s="295"/>
      <c r="J322" s="295"/>
      <c r="K322" s="295"/>
      <c r="L322" s="295"/>
      <c r="M322" s="295"/>
      <c r="N322" s="750"/>
      <c r="O322" s="295"/>
      <c r="P322" s="295"/>
      <c r="Q322" s="295"/>
      <c r="R322" s="295"/>
      <c r="S322" s="295"/>
      <c r="T322" s="295"/>
      <c r="U322" s="295"/>
      <c r="V322" s="295"/>
      <c r="W322" s="295"/>
      <c r="X322" s="295"/>
      <c r="Y322" s="764"/>
      <c r="Z322" s="764"/>
      <c r="AA322" s="764"/>
      <c r="AB322" s="764"/>
      <c r="AC322" s="764"/>
      <c r="AD322" s="764"/>
      <c r="AE322" s="764"/>
      <c r="AF322" s="414"/>
      <c r="AG322" s="414"/>
      <c r="AH322" s="414"/>
      <c r="AI322" s="414"/>
      <c r="AJ322" s="414"/>
      <c r="AK322" s="414"/>
      <c r="AL322" s="414"/>
      <c r="AM322" s="296">
        <f>SUM(Y322:AL322)</f>
        <v>0</v>
      </c>
    </row>
    <row r="323" spans="1:39" s="283" customFormat="1" ht="15.5" outlineLevel="1">
      <c r="A323" s="503"/>
      <c r="B323" s="315" t="s">
        <v>249</v>
      </c>
      <c r="C323" s="291" t="s">
        <v>163</v>
      </c>
      <c r="D323" s="295"/>
      <c r="E323" s="295"/>
      <c r="F323" s="295"/>
      <c r="G323" s="295"/>
      <c r="H323" s="295"/>
      <c r="I323" s="295"/>
      <c r="J323" s="295"/>
      <c r="K323" s="295"/>
      <c r="L323" s="295"/>
      <c r="M323" s="295"/>
      <c r="N323" s="750"/>
      <c r="O323" s="295"/>
      <c r="P323" s="295"/>
      <c r="Q323" s="295"/>
      <c r="R323" s="295"/>
      <c r="S323" s="295"/>
      <c r="T323" s="295"/>
      <c r="U323" s="295"/>
      <c r="V323" s="295"/>
      <c r="W323" s="295"/>
      <c r="X323" s="295"/>
      <c r="Y323" s="760">
        <f>Y322</f>
        <v>0</v>
      </c>
      <c r="Z323" s="760">
        <f>Z322</f>
        <v>0</v>
      </c>
      <c r="AA323" s="760">
        <f t="shared" si="171" ref="AA323:AE323">AA322</f>
        <v>0</v>
      </c>
      <c r="AB323" s="760">
        <f t="shared" si="171"/>
        <v>0</v>
      </c>
      <c r="AC323" s="760">
        <f t="shared" si="171"/>
        <v>0</v>
      </c>
      <c r="AD323" s="760">
        <f t="shared" si="171"/>
        <v>0</v>
      </c>
      <c r="AE323" s="760">
        <f t="shared" si="171"/>
        <v>0</v>
      </c>
      <c r="AF323" s="410">
        <f t="shared" si="172" ref="AF323:AL323">AF322</f>
        <v>0</v>
      </c>
      <c r="AG323" s="410">
        <f t="shared" si="172"/>
        <v>0</v>
      </c>
      <c r="AH323" s="410">
        <f t="shared" si="172"/>
        <v>0</v>
      </c>
      <c r="AI323" s="410">
        <f t="shared" si="172"/>
        <v>0</v>
      </c>
      <c r="AJ323" s="410">
        <f t="shared" si="172"/>
        <v>0</v>
      </c>
      <c r="AK323" s="410">
        <f t="shared" si="172"/>
        <v>0</v>
      </c>
      <c r="AL323" s="410">
        <f t="shared" si="172"/>
        <v>0</v>
      </c>
      <c r="AM323" s="311"/>
    </row>
    <row r="324" spans="1:39" s="283" customFormat="1" ht="15.5" outlineLevel="1">
      <c r="A324" s="503"/>
      <c r="B324" s="314"/>
      <c r="C324" s="312"/>
      <c r="D324" s="755"/>
      <c r="E324" s="755"/>
      <c r="F324" s="755"/>
      <c r="G324" s="755"/>
      <c r="H324" s="755"/>
      <c r="I324" s="755"/>
      <c r="J324" s="755"/>
      <c r="K324" s="755"/>
      <c r="L324" s="755"/>
      <c r="M324" s="755"/>
      <c r="N324" s="750"/>
      <c r="O324" s="755"/>
      <c r="P324" s="755"/>
      <c r="Q324" s="755"/>
      <c r="R324" s="755"/>
      <c r="S324" s="755"/>
      <c r="T324" s="755"/>
      <c r="U324" s="755"/>
      <c r="V324" s="755"/>
      <c r="W324" s="755"/>
      <c r="X324" s="755"/>
      <c r="Y324" s="767"/>
      <c r="Z324" s="765"/>
      <c r="AA324" s="765"/>
      <c r="AB324" s="765"/>
      <c r="AC324" s="765"/>
      <c r="AD324" s="765"/>
      <c r="AE324" s="765"/>
      <c r="AF324" s="415"/>
      <c r="AG324" s="415"/>
      <c r="AH324" s="415"/>
      <c r="AI324" s="415"/>
      <c r="AJ324" s="415"/>
      <c r="AK324" s="415"/>
      <c r="AL324" s="415"/>
      <c r="AM324" s="313"/>
    </row>
    <row r="325" spans="1:39" s="283" customFormat="1" ht="31" outlineLevel="1">
      <c r="A325" s="503">
        <v>16</v>
      </c>
      <c r="B325" s="314" t="s">
        <v>486</v>
      </c>
      <c r="C325" s="291" t="s">
        <v>25</v>
      </c>
      <c r="D325" s="295"/>
      <c r="E325" s="295"/>
      <c r="F325" s="295"/>
      <c r="G325" s="295"/>
      <c r="H325" s="295"/>
      <c r="I325" s="295"/>
      <c r="J325" s="295"/>
      <c r="K325" s="295"/>
      <c r="L325" s="295"/>
      <c r="M325" s="295"/>
      <c r="N325" s="750"/>
      <c r="O325" s="295"/>
      <c r="P325" s="295"/>
      <c r="Q325" s="295"/>
      <c r="R325" s="295"/>
      <c r="S325" s="295"/>
      <c r="T325" s="295"/>
      <c r="U325" s="295"/>
      <c r="V325" s="295"/>
      <c r="W325" s="295"/>
      <c r="X325" s="295"/>
      <c r="Y325" s="764"/>
      <c r="Z325" s="764"/>
      <c r="AA325" s="764"/>
      <c r="AB325" s="764"/>
      <c r="AC325" s="764"/>
      <c r="AD325" s="764"/>
      <c r="AE325" s="764"/>
      <c r="AF325" s="414"/>
      <c r="AG325" s="414"/>
      <c r="AH325" s="414"/>
      <c r="AI325" s="414"/>
      <c r="AJ325" s="414"/>
      <c r="AK325" s="414"/>
      <c r="AL325" s="414"/>
      <c r="AM325" s="296">
        <f>SUM(Y325:AL325)</f>
        <v>0</v>
      </c>
    </row>
    <row r="326" spans="1:39" s="283" customFormat="1" ht="15.5" outlineLevel="1">
      <c r="A326" s="503"/>
      <c r="B326" s="315" t="s">
        <v>249</v>
      </c>
      <c r="C326" s="291" t="s">
        <v>163</v>
      </c>
      <c r="D326" s="295"/>
      <c r="E326" s="295"/>
      <c r="F326" s="295"/>
      <c r="G326" s="295"/>
      <c r="H326" s="295"/>
      <c r="I326" s="295"/>
      <c r="J326" s="295"/>
      <c r="K326" s="295"/>
      <c r="L326" s="295"/>
      <c r="M326" s="295"/>
      <c r="N326" s="750"/>
      <c r="O326" s="295"/>
      <c r="P326" s="295"/>
      <c r="Q326" s="295"/>
      <c r="R326" s="295"/>
      <c r="S326" s="295"/>
      <c r="T326" s="295"/>
      <c r="U326" s="295"/>
      <c r="V326" s="295"/>
      <c r="W326" s="295"/>
      <c r="X326" s="295"/>
      <c r="Y326" s="760">
        <f>Y325</f>
        <v>0</v>
      </c>
      <c r="Z326" s="760">
        <f>Z325</f>
        <v>0</v>
      </c>
      <c r="AA326" s="760">
        <f t="shared" si="173" ref="AA326:AE326">AA325</f>
        <v>0</v>
      </c>
      <c r="AB326" s="760">
        <f t="shared" si="173"/>
        <v>0</v>
      </c>
      <c r="AC326" s="760">
        <f t="shared" si="173"/>
        <v>0</v>
      </c>
      <c r="AD326" s="760">
        <f t="shared" si="173"/>
        <v>0</v>
      </c>
      <c r="AE326" s="760">
        <f t="shared" si="173"/>
        <v>0</v>
      </c>
      <c r="AF326" s="410">
        <f t="shared" si="174" ref="AF326:AL326">AF325</f>
        <v>0</v>
      </c>
      <c r="AG326" s="410">
        <f t="shared" si="174"/>
        <v>0</v>
      </c>
      <c r="AH326" s="410">
        <f t="shared" si="174"/>
        <v>0</v>
      </c>
      <c r="AI326" s="410">
        <f t="shared" si="174"/>
        <v>0</v>
      </c>
      <c r="AJ326" s="410">
        <f t="shared" si="174"/>
        <v>0</v>
      </c>
      <c r="AK326" s="410">
        <f t="shared" si="174"/>
        <v>0</v>
      </c>
      <c r="AL326" s="410">
        <f t="shared" si="174"/>
        <v>0</v>
      </c>
      <c r="AM326" s="311"/>
    </row>
    <row r="327" spans="1:39" s="283" customFormat="1" ht="15.5" outlineLevel="1">
      <c r="A327" s="503"/>
      <c r="B327" s="314"/>
      <c r="C327" s="312"/>
      <c r="D327" s="755"/>
      <c r="E327" s="755"/>
      <c r="F327" s="755"/>
      <c r="G327" s="755"/>
      <c r="H327" s="755"/>
      <c r="I327" s="755"/>
      <c r="J327" s="755"/>
      <c r="K327" s="755"/>
      <c r="L327" s="755"/>
      <c r="M327" s="755"/>
      <c r="N327" s="750"/>
      <c r="O327" s="755"/>
      <c r="P327" s="755"/>
      <c r="Q327" s="755"/>
      <c r="R327" s="755"/>
      <c r="S327" s="755"/>
      <c r="T327" s="755"/>
      <c r="U327" s="755"/>
      <c r="V327" s="755"/>
      <c r="W327" s="755"/>
      <c r="X327" s="755"/>
      <c r="Y327" s="767"/>
      <c r="Z327" s="765"/>
      <c r="AA327" s="765"/>
      <c r="AB327" s="765"/>
      <c r="AC327" s="765"/>
      <c r="AD327" s="765"/>
      <c r="AE327" s="765"/>
      <c r="AF327" s="415"/>
      <c r="AG327" s="415"/>
      <c r="AH327" s="415"/>
      <c r="AI327" s="415"/>
      <c r="AJ327" s="415"/>
      <c r="AK327" s="415"/>
      <c r="AL327" s="415"/>
      <c r="AM327" s="313"/>
    </row>
    <row r="328" spans="1:39" ht="15.5" outlineLevel="1">
      <c r="A328" s="503">
        <v>17</v>
      </c>
      <c r="B328" s="314" t="s">
        <v>9</v>
      </c>
      <c r="C328" s="291" t="s">
        <v>25</v>
      </c>
      <c r="D328" s="295"/>
      <c r="E328" s="295"/>
      <c r="F328" s="295"/>
      <c r="G328" s="295"/>
      <c r="H328" s="295"/>
      <c r="I328" s="295"/>
      <c r="J328" s="295"/>
      <c r="K328" s="295"/>
      <c r="L328" s="295"/>
      <c r="M328" s="295"/>
      <c r="N328" s="750"/>
      <c r="O328" s="295"/>
      <c r="P328" s="295"/>
      <c r="Q328" s="295"/>
      <c r="R328" s="295"/>
      <c r="S328" s="295"/>
      <c r="T328" s="295"/>
      <c r="U328" s="295"/>
      <c r="V328" s="295"/>
      <c r="W328" s="295"/>
      <c r="X328" s="295"/>
      <c r="Y328" s="764"/>
      <c r="Z328" s="764"/>
      <c r="AA328" s="764"/>
      <c r="AB328" s="764"/>
      <c r="AC328" s="764"/>
      <c r="AD328" s="764"/>
      <c r="AE328" s="764"/>
      <c r="AF328" s="414"/>
      <c r="AG328" s="414"/>
      <c r="AH328" s="414"/>
      <c r="AI328" s="414"/>
      <c r="AJ328" s="414"/>
      <c r="AK328" s="414"/>
      <c r="AL328" s="414"/>
      <c r="AM328" s="296">
        <f>SUM(Y328:AL328)</f>
        <v>0</v>
      </c>
    </row>
    <row r="329" spans="2:39" ht="15.5" outlineLevel="1">
      <c r="B329" s="294" t="s">
        <v>249</v>
      </c>
      <c r="C329" s="291" t="s">
        <v>163</v>
      </c>
      <c r="D329" s="295"/>
      <c r="E329" s="295"/>
      <c r="F329" s="295"/>
      <c r="G329" s="295"/>
      <c r="H329" s="295"/>
      <c r="I329" s="295"/>
      <c r="J329" s="295"/>
      <c r="K329" s="295"/>
      <c r="L329" s="295"/>
      <c r="M329" s="295"/>
      <c r="N329" s="750"/>
      <c r="O329" s="295"/>
      <c r="P329" s="295"/>
      <c r="Q329" s="295"/>
      <c r="R329" s="295"/>
      <c r="S329" s="295"/>
      <c r="T329" s="295"/>
      <c r="U329" s="295"/>
      <c r="V329" s="295"/>
      <c r="W329" s="295"/>
      <c r="X329" s="295"/>
      <c r="Y329" s="760">
        <f>Y328</f>
        <v>0</v>
      </c>
      <c r="Z329" s="760">
        <f>Z328</f>
        <v>0</v>
      </c>
      <c r="AA329" s="760">
        <f t="shared" si="175" ref="AA329:AE329">AA328</f>
        <v>0</v>
      </c>
      <c r="AB329" s="760">
        <f t="shared" si="175"/>
        <v>0</v>
      </c>
      <c r="AC329" s="760">
        <f t="shared" si="175"/>
        <v>0</v>
      </c>
      <c r="AD329" s="760">
        <f t="shared" si="175"/>
        <v>0</v>
      </c>
      <c r="AE329" s="760">
        <f t="shared" si="175"/>
        <v>0</v>
      </c>
      <c r="AF329" s="410">
        <f t="shared" si="176" ref="AF329:AL329">AF328</f>
        <v>0</v>
      </c>
      <c r="AG329" s="410">
        <f t="shared" si="176"/>
        <v>0</v>
      </c>
      <c r="AH329" s="410">
        <f t="shared" si="176"/>
        <v>0</v>
      </c>
      <c r="AI329" s="410">
        <f t="shared" si="176"/>
        <v>0</v>
      </c>
      <c r="AJ329" s="410">
        <f t="shared" si="176"/>
        <v>0</v>
      </c>
      <c r="AK329" s="410">
        <f t="shared" si="176"/>
        <v>0</v>
      </c>
      <c r="AL329" s="410">
        <f t="shared" si="176"/>
        <v>0</v>
      </c>
      <c r="AM329" s="311"/>
    </row>
    <row r="330" spans="2:39" ht="15.5" outlineLevel="1">
      <c r="B330" s="315"/>
      <c r="C330" s="305"/>
      <c r="D330" s="750"/>
      <c r="E330" s="750"/>
      <c r="F330" s="750"/>
      <c r="G330" s="750"/>
      <c r="H330" s="750"/>
      <c r="I330" s="750"/>
      <c r="J330" s="750"/>
      <c r="K330" s="750"/>
      <c r="L330" s="750"/>
      <c r="M330" s="750"/>
      <c r="N330" s="750"/>
      <c r="O330" s="750"/>
      <c r="P330" s="750"/>
      <c r="Q330" s="750"/>
      <c r="R330" s="750"/>
      <c r="S330" s="750"/>
      <c r="T330" s="750"/>
      <c r="U330" s="750"/>
      <c r="V330" s="750"/>
      <c r="W330" s="750"/>
      <c r="X330" s="750"/>
      <c r="Y330" s="768"/>
      <c r="Z330" s="769"/>
      <c r="AA330" s="769"/>
      <c r="AB330" s="769"/>
      <c r="AC330" s="769"/>
      <c r="AD330" s="769"/>
      <c r="AE330" s="769"/>
      <c r="AF330" s="417"/>
      <c r="AG330" s="417"/>
      <c r="AH330" s="417"/>
      <c r="AI330" s="417"/>
      <c r="AJ330" s="417"/>
      <c r="AK330" s="417"/>
      <c r="AL330" s="417"/>
      <c r="AM330" s="317"/>
    </row>
    <row r="331" spans="1:39" ht="15.5" outlineLevel="1">
      <c r="A331" s="504"/>
      <c r="B331" s="288" t="s">
        <v>10</v>
      </c>
      <c r="C331" s="289"/>
      <c r="D331" s="754"/>
      <c r="E331" s="754"/>
      <c r="F331" s="754"/>
      <c r="G331" s="754"/>
      <c r="H331" s="754"/>
      <c r="I331" s="754"/>
      <c r="J331" s="754"/>
      <c r="K331" s="754"/>
      <c r="L331" s="754"/>
      <c r="M331" s="754"/>
      <c r="N331" s="756"/>
      <c r="O331" s="754"/>
      <c r="P331" s="754"/>
      <c r="Q331" s="754"/>
      <c r="R331" s="754"/>
      <c r="S331" s="754"/>
      <c r="T331" s="754"/>
      <c r="U331" s="754"/>
      <c r="V331" s="754"/>
      <c r="W331" s="754"/>
      <c r="X331" s="754"/>
      <c r="Y331" s="763"/>
      <c r="Z331" s="763"/>
      <c r="AA331" s="763"/>
      <c r="AB331" s="763"/>
      <c r="AC331" s="763"/>
      <c r="AD331" s="763"/>
      <c r="AE331" s="763"/>
      <c r="AF331" s="413"/>
      <c r="AG331" s="413"/>
      <c r="AH331" s="413"/>
      <c r="AI331" s="413"/>
      <c r="AJ331" s="413"/>
      <c r="AK331" s="413"/>
      <c r="AL331" s="413"/>
      <c r="AM331" s="292"/>
    </row>
    <row r="332" spans="1:39" ht="15.5" outlineLevel="1">
      <c r="A332" s="503">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76"/>
      <c r="Z332" s="764"/>
      <c r="AA332" s="764"/>
      <c r="AB332" s="764"/>
      <c r="AC332" s="764"/>
      <c r="AD332" s="764"/>
      <c r="AE332" s="764"/>
      <c r="AF332" s="414"/>
      <c r="AG332" s="414"/>
      <c r="AH332" s="414"/>
      <c r="AI332" s="414"/>
      <c r="AJ332" s="414"/>
      <c r="AK332" s="414"/>
      <c r="AL332" s="414"/>
      <c r="AM332" s="296">
        <f>SUM(Y332:AL332)</f>
        <v>0</v>
      </c>
    </row>
    <row r="333" spans="2: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60">
        <f>Y332</f>
        <v>0</v>
      </c>
      <c r="Z333" s="760">
        <f>Z332</f>
        <v>0</v>
      </c>
      <c r="AA333" s="760">
        <f t="shared" si="177" ref="AA333:AE333">AA332</f>
        <v>0</v>
      </c>
      <c r="AB333" s="760">
        <f t="shared" si="177"/>
        <v>0</v>
      </c>
      <c r="AC333" s="760">
        <f t="shared" si="177"/>
        <v>0</v>
      </c>
      <c r="AD333" s="760">
        <f t="shared" si="177"/>
        <v>0</v>
      </c>
      <c r="AE333" s="760">
        <f t="shared" si="177"/>
        <v>0</v>
      </c>
      <c r="AF333" s="410">
        <f t="shared" si="178" ref="AF333:AL333">AF332</f>
        <v>0</v>
      </c>
      <c r="AG333" s="410">
        <f t="shared" si="178"/>
        <v>0</v>
      </c>
      <c r="AH333" s="410">
        <f t="shared" si="178"/>
        <v>0</v>
      </c>
      <c r="AI333" s="410">
        <f t="shared" si="178"/>
        <v>0</v>
      </c>
      <c r="AJ333" s="410">
        <f t="shared" si="178"/>
        <v>0</v>
      </c>
      <c r="AK333" s="410">
        <f t="shared" si="178"/>
        <v>0</v>
      </c>
      <c r="AL333" s="410">
        <f t="shared" si="178"/>
        <v>0</v>
      </c>
      <c r="AM333" s="297"/>
    </row>
    <row r="334" spans="1:39" ht="15.5" outlineLevel="1">
      <c r="A334" s="506"/>
      <c r="B334" s="315"/>
      <c r="C334" s="305"/>
      <c r="D334" s="750"/>
      <c r="E334" s="750"/>
      <c r="F334" s="750"/>
      <c r="G334" s="750"/>
      <c r="H334" s="750"/>
      <c r="I334" s="750"/>
      <c r="J334" s="750"/>
      <c r="K334" s="750"/>
      <c r="L334" s="750"/>
      <c r="M334" s="750"/>
      <c r="N334" s="750"/>
      <c r="O334" s="750"/>
      <c r="P334" s="750"/>
      <c r="Q334" s="750"/>
      <c r="R334" s="750"/>
      <c r="S334" s="750"/>
      <c r="T334" s="750"/>
      <c r="U334" s="750"/>
      <c r="V334" s="750"/>
      <c r="W334" s="750"/>
      <c r="X334" s="750"/>
      <c r="Y334" s="761"/>
      <c r="Z334" s="770"/>
      <c r="AA334" s="770"/>
      <c r="AB334" s="770"/>
      <c r="AC334" s="770"/>
      <c r="AD334" s="770"/>
      <c r="AE334" s="770"/>
      <c r="AF334" s="418"/>
      <c r="AG334" s="418"/>
      <c r="AH334" s="418"/>
      <c r="AI334" s="418"/>
      <c r="AJ334" s="418"/>
      <c r="AK334" s="418"/>
      <c r="AL334" s="418"/>
      <c r="AM334" s="306"/>
    </row>
    <row r="335" spans="1:39" ht="15.5" outlineLevel="1">
      <c r="A335" s="503">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59"/>
      <c r="Z335" s="764"/>
      <c r="AA335" s="764"/>
      <c r="AB335" s="764"/>
      <c r="AC335" s="764"/>
      <c r="AD335" s="764"/>
      <c r="AE335" s="764"/>
      <c r="AF335" s="414"/>
      <c r="AG335" s="414"/>
      <c r="AH335" s="414"/>
      <c r="AI335" s="414"/>
      <c r="AJ335" s="414"/>
      <c r="AK335" s="414"/>
      <c r="AL335" s="414"/>
      <c r="AM335" s="296">
        <f>SUM(Y335:AL335)</f>
        <v>0</v>
      </c>
    </row>
    <row r="336" spans="2: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60">
        <f>Y335</f>
        <v>0</v>
      </c>
      <c r="Z336" s="760">
        <f>Z335</f>
        <v>0</v>
      </c>
      <c r="AA336" s="760">
        <f t="shared" si="179" ref="AA336:AE336">AA335</f>
        <v>0</v>
      </c>
      <c r="AB336" s="760">
        <f t="shared" si="179"/>
        <v>0</v>
      </c>
      <c r="AC336" s="760">
        <f t="shared" si="179"/>
        <v>0</v>
      </c>
      <c r="AD336" s="760">
        <f t="shared" si="179"/>
        <v>0</v>
      </c>
      <c r="AE336" s="760">
        <f t="shared" si="179"/>
        <v>0</v>
      </c>
      <c r="AF336" s="410">
        <f t="shared" si="180" ref="AF336:AL336">AF335</f>
        <v>0</v>
      </c>
      <c r="AG336" s="410">
        <f t="shared" si="180"/>
        <v>0</v>
      </c>
      <c r="AH336" s="410">
        <f t="shared" si="180"/>
        <v>0</v>
      </c>
      <c r="AI336" s="410">
        <f t="shared" si="180"/>
        <v>0</v>
      </c>
      <c r="AJ336" s="410">
        <f t="shared" si="180"/>
        <v>0</v>
      </c>
      <c r="AK336" s="410">
        <f t="shared" si="180"/>
        <v>0</v>
      </c>
      <c r="AL336" s="410">
        <f t="shared" si="180"/>
        <v>0</v>
      </c>
      <c r="AM336" s="297"/>
    </row>
    <row r="337" spans="2:39" ht="15.5" outlineLevel="1">
      <c r="B337" s="315"/>
      <c r="C337" s="305"/>
      <c r="D337" s="750"/>
      <c r="E337" s="750"/>
      <c r="F337" s="750"/>
      <c r="G337" s="750"/>
      <c r="H337" s="750"/>
      <c r="I337" s="750"/>
      <c r="J337" s="750"/>
      <c r="K337" s="750"/>
      <c r="L337" s="750"/>
      <c r="M337" s="750"/>
      <c r="N337" s="750"/>
      <c r="O337" s="750"/>
      <c r="P337" s="750"/>
      <c r="Q337" s="750"/>
      <c r="R337" s="750"/>
      <c r="S337" s="750"/>
      <c r="T337" s="750"/>
      <c r="U337" s="750"/>
      <c r="V337" s="750"/>
      <c r="W337" s="750"/>
      <c r="X337" s="750"/>
      <c r="Y337" s="771"/>
      <c r="Z337" s="771"/>
      <c r="AA337" s="761"/>
      <c r="AB337" s="761"/>
      <c r="AC337" s="761"/>
      <c r="AD337" s="761"/>
      <c r="AE337" s="761"/>
      <c r="AF337" s="411"/>
      <c r="AG337" s="411"/>
      <c r="AH337" s="411"/>
      <c r="AI337" s="411"/>
      <c r="AJ337" s="411"/>
      <c r="AK337" s="411"/>
      <c r="AL337" s="411"/>
      <c r="AM337" s="306"/>
    </row>
    <row r="338" spans="1:39" ht="15.5" outlineLevel="1">
      <c r="A338" s="503">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759"/>
      <c r="Z338" s="764"/>
      <c r="AA338" s="764"/>
      <c r="AB338" s="764">
        <v>1</v>
      </c>
      <c r="AC338" s="775"/>
      <c r="AD338" s="764"/>
      <c r="AE338" s="764"/>
      <c r="AF338" s="414"/>
      <c r="AG338" s="414"/>
      <c r="AH338" s="414"/>
      <c r="AI338" s="414"/>
      <c r="AJ338" s="414"/>
      <c r="AK338" s="414"/>
      <c r="AL338" s="414"/>
      <c r="AM338" s="296">
        <f>SUM(Y338:AL338)</f>
        <v>1</v>
      </c>
    </row>
    <row r="339" spans="2:39" ht="15.5" outlineLevel="1">
      <c r="B339" s="294" t="s">
        <v>249</v>
      </c>
      <c r="C339" s="291" t="s">
        <v>163</v>
      </c>
      <c r="D339" s="295">
        <f>'7.  Persistence Report'!AS85</f>
        <v>10467.69231</v>
      </c>
      <c r="E339" s="295">
        <f>'7.  Persistence Report'!AT85</f>
        <v>10467.69231</v>
      </c>
      <c r="F339" s="295">
        <f>'7.  Persistence Report'!AU85</f>
        <v>10467.69231</v>
      </c>
      <c r="G339" s="295">
        <f>'7.  Persistence Report'!AV85</f>
        <v>0</v>
      </c>
      <c r="H339" s="295">
        <f>'7.  Persistence Report'!AW85</f>
        <v>0</v>
      </c>
      <c r="I339" s="295">
        <f>'7.  Persistence Report'!AX85</f>
        <v>0</v>
      </c>
      <c r="J339" s="295">
        <f>'7.  Persistence Report'!AY85</f>
        <v>0</v>
      </c>
      <c r="K339" s="295">
        <f>'7.  Persistence Report'!AZ85</f>
        <v>0</v>
      </c>
      <c r="L339" s="295">
        <f>'7.  Persistence Report'!BA85</f>
        <v>0</v>
      </c>
      <c r="M339" s="295">
        <f>'7.  Persistence Report'!BB85</f>
        <v>0</v>
      </c>
      <c r="N339" s="295">
        <f>N338</f>
        <v>12</v>
      </c>
      <c r="O339" s="295">
        <f>'7.  Persistence Report'!N85</f>
        <v>0.17749799999999999</v>
      </c>
      <c r="P339" s="295">
        <f>'7.  Persistence Report'!O85</f>
        <v>0.17749799999999999</v>
      </c>
      <c r="Q339" s="295">
        <f>'7.  Persistence Report'!P85</f>
        <v>0.17749799999999999</v>
      </c>
      <c r="R339" s="295">
        <f>'7.  Persistence Report'!Q85</f>
        <v>0</v>
      </c>
      <c r="S339" s="295">
        <f>'7.  Persistence Report'!R85</f>
        <v>0</v>
      </c>
      <c r="T339" s="295">
        <f>'7.  Persistence Report'!S85</f>
        <v>0</v>
      </c>
      <c r="U339" s="295">
        <f>'7.  Persistence Report'!T85</f>
        <v>0</v>
      </c>
      <c r="V339" s="295">
        <f>'7.  Persistence Report'!U85</f>
        <v>0</v>
      </c>
      <c r="W339" s="295">
        <f>'7.  Persistence Report'!V85</f>
        <v>0</v>
      </c>
      <c r="X339" s="295">
        <f>'7.  Persistence Report'!W85</f>
        <v>0</v>
      </c>
      <c r="Y339" s="760">
        <f>Y338</f>
        <v>0</v>
      </c>
      <c r="Z339" s="760">
        <f>Z338</f>
        <v>0</v>
      </c>
      <c r="AA339" s="760">
        <f t="shared" si="181" ref="AA339:AE339">AA338</f>
        <v>0</v>
      </c>
      <c r="AB339" s="760">
        <f t="shared" si="181"/>
        <v>1</v>
      </c>
      <c r="AC339" s="760">
        <f t="shared" si="181"/>
        <v>0</v>
      </c>
      <c r="AD339" s="760">
        <f t="shared" si="181"/>
        <v>0</v>
      </c>
      <c r="AE339" s="760">
        <f t="shared" si="181"/>
        <v>0</v>
      </c>
      <c r="AF339" s="410">
        <f t="shared" si="182" ref="AF339:AL339">AF338</f>
        <v>0</v>
      </c>
      <c r="AG339" s="410">
        <f t="shared" si="182"/>
        <v>0</v>
      </c>
      <c r="AH339" s="410">
        <f t="shared" si="182"/>
        <v>0</v>
      </c>
      <c r="AI339" s="410">
        <f t="shared" si="182"/>
        <v>0</v>
      </c>
      <c r="AJ339" s="410">
        <f t="shared" si="182"/>
        <v>0</v>
      </c>
      <c r="AK339" s="410">
        <f t="shared" si="182"/>
        <v>0</v>
      </c>
      <c r="AL339" s="410">
        <f t="shared" si="182"/>
        <v>0</v>
      </c>
      <c r="AM339" s="306"/>
    </row>
    <row r="340" spans="2:39" ht="15.5" outlineLevel="1">
      <c r="B340" s="315"/>
      <c r="C340" s="305"/>
      <c r="D340" s="750"/>
      <c r="E340" s="750"/>
      <c r="F340" s="750"/>
      <c r="G340" s="750"/>
      <c r="H340" s="750"/>
      <c r="I340" s="750"/>
      <c r="J340" s="750"/>
      <c r="K340" s="750"/>
      <c r="L340" s="750"/>
      <c r="M340" s="750"/>
      <c r="N340" s="757"/>
      <c r="O340" s="750"/>
      <c r="P340" s="750"/>
      <c r="Q340" s="750"/>
      <c r="R340" s="750"/>
      <c r="S340" s="750"/>
      <c r="T340" s="750"/>
      <c r="U340" s="750"/>
      <c r="V340" s="750"/>
      <c r="W340" s="750"/>
      <c r="X340" s="750"/>
      <c r="Y340" s="761"/>
      <c r="Z340" s="761"/>
      <c r="AA340" s="761"/>
      <c r="AB340" s="761"/>
      <c r="AC340" s="761"/>
      <c r="AD340" s="761"/>
      <c r="AE340" s="761"/>
      <c r="AF340" s="411"/>
      <c r="AG340" s="411"/>
      <c r="AH340" s="411"/>
      <c r="AI340" s="411"/>
      <c r="AJ340" s="411"/>
      <c r="AK340" s="411"/>
      <c r="AL340" s="411"/>
      <c r="AM340" s="306"/>
    </row>
    <row r="341" spans="1:39" ht="15.5" outlineLevel="1">
      <c r="A341" s="503">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59"/>
      <c r="Z341" s="764"/>
      <c r="AA341" s="764"/>
      <c r="AB341" s="764"/>
      <c r="AC341" s="764"/>
      <c r="AD341" s="764"/>
      <c r="AE341" s="764"/>
      <c r="AF341" s="414"/>
      <c r="AG341" s="414"/>
      <c r="AH341" s="414"/>
      <c r="AI341" s="414"/>
      <c r="AJ341" s="414"/>
      <c r="AK341" s="414"/>
      <c r="AL341" s="414"/>
      <c r="AM341" s="296">
        <f>SUM(Y341:AL341)</f>
        <v>0</v>
      </c>
    </row>
    <row r="342" spans="2: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60">
        <f>Y341</f>
        <v>0</v>
      </c>
      <c r="Z342" s="760">
        <f>Z341</f>
        <v>0</v>
      </c>
      <c r="AA342" s="760">
        <f t="shared" si="183" ref="AA342:AE342">AA341</f>
        <v>0</v>
      </c>
      <c r="AB342" s="760">
        <f t="shared" si="183"/>
        <v>0</v>
      </c>
      <c r="AC342" s="760">
        <f t="shared" si="183"/>
        <v>0</v>
      </c>
      <c r="AD342" s="760">
        <f t="shared" si="183"/>
        <v>0</v>
      </c>
      <c r="AE342" s="760">
        <f t="shared" si="183"/>
        <v>0</v>
      </c>
      <c r="AF342" s="410">
        <f t="shared" si="184" ref="AF342:AL342">AF341</f>
        <v>0</v>
      </c>
      <c r="AG342" s="410">
        <f t="shared" si="184"/>
        <v>0</v>
      </c>
      <c r="AH342" s="410">
        <f t="shared" si="184"/>
        <v>0</v>
      </c>
      <c r="AI342" s="410">
        <f t="shared" si="184"/>
        <v>0</v>
      </c>
      <c r="AJ342" s="410">
        <f t="shared" si="184"/>
        <v>0</v>
      </c>
      <c r="AK342" s="410">
        <f t="shared" si="184"/>
        <v>0</v>
      </c>
      <c r="AL342" s="410">
        <f t="shared" si="184"/>
        <v>0</v>
      </c>
      <c r="AM342" s="297"/>
    </row>
    <row r="343" spans="2:39" ht="15.5" outlineLevel="1">
      <c r="B343" s="315"/>
      <c r="C343" s="305"/>
      <c r="D343" s="750"/>
      <c r="E343" s="750"/>
      <c r="F343" s="750"/>
      <c r="G343" s="750"/>
      <c r="H343" s="750"/>
      <c r="I343" s="750"/>
      <c r="J343" s="750"/>
      <c r="K343" s="750"/>
      <c r="L343" s="750"/>
      <c r="M343" s="750"/>
      <c r="N343" s="750"/>
      <c r="O343" s="750"/>
      <c r="P343" s="750"/>
      <c r="Q343" s="750"/>
      <c r="R343" s="750"/>
      <c r="S343" s="750"/>
      <c r="T343" s="750"/>
      <c r="U343" s="750"/>
      <c r="V343" s="750"/>
      <c r="W343" s="750"/>
      <c r="X343" s="750"/>
      <c r="Y343" s="771"/>
      <c r="Z343" s="761"/>
      <c r="AA343" s="761"/>
      <c r="AB343" s="761"/>
      <c r="AC343" s="761"/>
      <c r="AD343" s="761"/>
      <c r="AE343" s="761"/>
      <c r="AF343" s="411"/>
      <c r="AG343" s="411"/>
      <c r="AH343" s="411"/>
      <c r="AI343" s="411"/>
      <c r="AJ343" s="411"/>
      <c r="AK343" s="411"/>
      <c r="AL343" s="411"/>
      <c r="AM343" s="306"/>
    </row>
    <row r="344" spans="1:39" ht="15.5" outlineLevel="1">
      <c r="A344" s="503">
        <v>22</v>
      </c>
      <c r="B344" s="315" t="s">
        <v>9</v>
      </c>
      <c r="C344" s="291" t="s">
        <v>25</v>
      </c>
      <c r="D344" s="295"/>
      <c r="E344" s="295"/>
      <c r="F344" s="295"/>
      <c r="G344" s="295"/>
      <c r="H344" s="295"/>
      <c r="I344" s="295"/>
      <c r="J344" s="295"/>
      <c r="K344" s="295"/>
      <c r="L344" s="295"/>
      <c r="M344" s="295"/>
      <c r="N344" s="750"/>
      <c r="O344" s="295"/>
      <c r="P344" s="295"/>
      <c r="Q344" s="295"/>
      <c r="R344" s="295"/>
      <c r="S344" s="295"/>
      <c r="T344" s="295"/>
      <c r="U344" s="295"/>
      <c r="V344" s="295"/>
      <c r="W344" s="295"/>
      <c r="X344" s="295"/>
      <c r="Y344" s="759"/>
      <c r="Z344" s="764"/>
      <c r="AA344" s="764"/>
      <c r="AB344" s="764"/>
      <c r="AC344" s="764"/>
      <c r="AD344" s="764"/>
      <c r="AE344" s="764"/>
      <c r="AF344" s="414"/>
      <c r="AG344" s="414"/>
      <c r="AH344" s="414"/>
      <c r="AI344" s="414"/>
      <c r="AJ344" s="414"/>
      <c r="AK344" s="414"/>
      <c r="AL344" s="414"/>
      <c r="AM344" s="296">
        <f>SUM(Y344:AL344)</f>
        <v>0</v>
      </c>
    </row>
    <row r="345" spans="2:39" ht="15.5" outlineLevel="1">
      <c r="B345" s="294" t="s">
        <v>249</v>
      </c>
      <c r="C345" s="291" t="s">
        <v>163</v>
      </c>
      <c r="D345" s="295"/>
      <c r="E345" s="295"/>
      <c r="F345" s="295"/>
      <c r="G345" s="295"/>
      <c r="H345" s="295"/>
      <c r="I345" s="295"/>
      <c r="J345" s="295"/>
      <c r="K345" s="295"/>
      <c r="L345" s="295"/>
      <c r="M345" s="295"/>
      <c r="N345" s="750"/>
      <c r="O345" s="295"/>
      <c r="P345" s="295"/>
      <c r="Q345" s="295"/>
      <c r="R345" s="295"/>
      <c r="S345" s="295"/>
      <c r="T345" s="295"/>
      <c r="U345" s="295"/>
      <c r="V345" s="295"/>
      <c r="W345" s="295"/>
      <c r="X345" s="295"/>
      <c r="Y345" s="760">
        <f>Y344</f>
        <v>0</v>
      </c>
      <c r="Z345" s="760">
        <f>Z344</f>
        <v>0</v>
      </c>
      <c r="AA345" s="760">
        <f t="shared" si="185" ref="AA345:AE345">AA344</f>
        <v>0</v>
      </c>
      <c r="AB345" s="760">
        <f t="shared" si="185"/>
        <v>0</v>
      </c>
      <c r="AC345" s="760">
        <f t="shared" si="185"/>
        <v>0</v>
      </c>
      <c r="AD345" s="760">
        <f t="shared" si="185"/>
        <v>0</v>
      </c>
      <c r="AE345" s="760">
        <f t="shared" si="185"/>
        <v>0</v>
      </c>
      <c r="AF345" s="410">
        <f t="shared" si="186" ref="AF345:AL345">AF344</f>
        <v>0</v>
      </c>
      <c r="AG345" s="410">
        <f t="shared" si="186"/>
        <v>0</v>
      </c>
      <c r="AH345" s="410">
        <f t="shared" si="186"/>
        <v>0</v>
      </c>
      <c r="AI345" s="410">
        <f t="shared" si="186"/>
        <v>0</v>
      </c>
      <c r="AJ345" s="410">
        <f t="shared" si="186"/>
        <v>0</v>
      </c>
      <c r="AK345" s="410">
        <f t="shared" si="186"/>
        <v>0</v>
      </c>
      <c r="AL345" s="410">
        <f t="shared" si="186"/>
        <v>0</v>
      </c>
      <c r="AM345" s="306"/>
    </row>
    <row r="346" spans="2:39" ht="15.5" outlineLevel="1">
      <c r="B346" s="315"/>
      <c r="C346" s="305"/>
      <c r="D346" s="750"/>
      <c r="E346" s="750"/>
      <c r="F346" s="750"/>
      <c r="G346" s="750"/>
      <c r="H346" s="750"/>
      <c r="I346" s="750"/>
      <c r="J346" s="750"/>
      <c r="K346" s="750"/>
      <c r="L346" s="750"/>
      <c r="M346" s="750"/>
      <c r="N346" s="750"/>
      <c r="O346" s="750"/>
      <c r="P346" s="750"/>
      <c r="Q346" s="750"/>
      <c r="R346" s="750"/>
      <c r="S346" s="750"/>
      <c r="T346" s="750"/>
      <c r="U346" s="750"/>
      <c r="V346" s="750"/>
      <c r="W346" s="750"/>
      <c r="X346" s="750"/>
      <c r="Y346" s="761"/>
      <c r="Z346" s="761"/>
      <c r="AA346" s="761"/>
      <c r="AB346" s="761"/>
      <c r="AC346" s="761"/>
      <c r="AD346" s="761"/>
      <c r="AE346" s="761"/>
      <c r="AF346" s="411"/>
      <c r="AG346" s="411"/>
      <c r="AH346" s="411"/>
      <c r="AI346" s="411"/>
      <c r="AJ346" s="411"/>
      <c r="AK346" s="411"/>
      <c r="AL346" s="411"/>
      <c r="AM346" s="306"/>
    </row>
    <row r="347" spans="1:39" ht="15.5" outlineLevel="1">
      <c r="A347" s="504"/>
      <c r="B347" s="288" t="s">
        <v>14</v>
      </c>
      <c r="C347" s="289"/>
      <c r="D347" s="756"/>
      <c r="E347" s="756"/>
      <c r="F347" s="756"/>
      <c r="G347" s="756"/>
      <c r="H347" s="756"/>
      <c r="I347" s="756"/>
      <c r="J347" s="756"/>
      <c r="K347" s="756"/>
      <c r="L347" s="756"/>
      <c r="M347" s="756"/>
      <c r="N347" s="756"/>
      <c r="O347" s="756"/>
      <c r="P347" s="756"/>
      <c r="Q347" s="756"/>
      <c r="R347" s="756"/>
      <c r="S347" s="756"/>
      <c r="T347" s="756"/>
      <c r="U347" s="756"/>
      <c r="V347" s="756"/>
      <c r="W347" s="756"/>
      <c r="X347" s="756"/>
      <c r="Y347" s="763"/>
      <c r="Z347" s="763"/>
      <c r="AA347" s="763"/>
      <c r="AB347" s="763"/>
      <c r="AC347" s="763"/>
      <c r="AD347" s="763"/>
      <c r="AE347" s="763"/>
      <c r="AF347" s="413"/>
      <c r="AG347" s="413"/>
      <c r="AH347" s="413"/>
      <c r="AI347" s="413"/>
      <c r="AJ347" s="413"/>
      <c r="AK347" s="413"/>
      <c r="AL347" s="413"/>
      <c r="AM347" s="292"/>
    </row>
    <row r="348" spans="1:39" ht="15.5" outlineLevel="1">
      <c r="A348" s="503">
        <v>23</v>
      </c>
      <c r="B348" s="315" t="s">
        <v>14</v>
      </c>
      <c r="C348" s="291" t="s">
        <v>25</v>
      </c>
      <c r="D348" s="295">
        <f>'7.  Persistence Report'!AS75</f>
        <v>127117.742881775</v>
      </c>
      <c r="E348" s="295">
        <f>'7.  Persistence Report'!AT75</f>
        <v>124084.37903595</v>
      </c>
      <c r="F348" s="295">
        <f>'7.  Persistence Report'!AU75</f>
        <v>119198.259010315</v>
      </c>
      <c r="G348" s="295">
        <f>'7.  Persistence Report'!AV75</f>
        <v>109426.30175971999</v>
      </c>
      <c r="H348" s="295">
        <f>'7.  Persistence Report'!AW75</f>
        <v>104298.677518845</v>
      </c>
      <c r="I348" s="295">
        <f>'7.  Persistence Report'!AX75</f>
        <v>101092.03486061101</v>
      </c>
      <c r="J348" s="295">
        <f>'7.  Persistence Report'!AY75</f>
        <v>101092.03486061101</v>
      </c>
      <c r="K348" s="295">
        <f>'7.  Persistence Report'!AZ75</f>
        <v>101092.03486061101</v>
      </c>
      <c r="L348" s="295">
        <f>'7.  Persistence Report'!BA75</f>
        <v>57870.315299987997</v>
      </c>
      <c r="M348" s="295">
        <f>'7.  Persistence Report'!BB75</f>
        <v>57638.965858459</v>
      </c>
      <c r="N348" s="750"/>
      <c r="O348" s="295">
        <f>'7.  Persistence Report'!N75</f>
        <v>11.506904471</v>
      </c>
      <c r="P348" s="295">
        <f>'7.  Persistence Report'!O75</f>
        <v>11.349332494</v>
      </c>
      <c r="Q348" s="295">
        <f>'7.  Persistence Report'!P75</f>
        <v>11.095516707</v>
      </c>
      <c r="R348" s="295">
        <f>'7.  Persistence Report'!Q75</f>
        <v>10.587899781999999</v>
      </c>
      <c r="S348" s="295">
        <f>'7.  Persistence Report'!R75</f>
        <v>10.321538649000001</v>
      </c>
      <c r="T348" s="295">
        <f>'7.  Persistence Report'!S75</f>
        <v>10.15496549</v>
      </c>
      <c r="U348" s="295">
        <f>'7.  Persistence Report'!T75</f>
        <v>10.15496549</v>
      </c>
      <c r="V348" s="295">
        <f>'7.  Persistence Report'!U75</f>
        <v>10.15496549</v>
      </c>
      <c r="W348" s="295">
        <f>'7.  Persistence Report'!V75</f>
        <v>7.9097577299999999</v>
      </c>
      <c r="X348" s="295">
        <f>'7.  Persistence Report'!W75</f>
        <v>7.6620439559999998</v>
      </c>
      <c r="Y348" s="777">
        <v>1</v>
      </c>
      <c r="Z348" s="759"/>
      <c r="AA348" s="759"/>
      <c r="AB348" s="759"/>
      <c r="AC348" s="759"/>
      <c r="AD348" s="759"/>
      <c r="AE348" s="759"/>
      <c r="AF348" s="409"/>
      <c r="AG348" s="409"/>
      <c r="AH348" s="409"/>
      <c r="AI348" s="409"/>
      <c r="AJ348" s="409"/>
      <c r="AK348" s="409"/>
      <c r="AL348" s="409"/>
      <c r="AM348" s="296">
        <f>SUM(Y348:AL348)</f>
        <v>1</v>
      </c>
    </row>
    <row r="349" spans="2:39" ht="15.5" outlineLevel="1">
      <c r="B349" s="294" t="s">
        <v>249</v>
      </c>
      <c r="C349" s="291" t="s">
        <v>163</v>
      </c>
      <c r="D349" s="295">
        <f>'7.  Persistence Report'!AS82</f>
        <v>18427.818869999999</v>
      </c>
      <c r="E349" s="295">
        <f>'7.  Persistence Report'!AT82</f>
        <v>18285.944960000001</v>
      </c>
      <c r="F349" s="295">
        <f>'7.  Persistence Report'!AU82</f>
        <v>18207.92268</v>
      </c>
      <c r="G349" s="295">
        <f>'7.  Persistence Report'!AV82</f>
        <v>17168.769329999999</v>
      </c>
      <c r="H349" s="295">
        <f>'7.  Persistence Report'!AW82</f>
        <v>16681.788499999999</v>
      </c>
      <c r="I349" s="295">
        <f>'7.  Persistence Report'!AX82</f>
        <v>16221.94292</v>
      </c>
      <c r="J349" s="295">
        <f>'7.  Persistence Report'!AY82</f>
        <v>16221.94292</v>
      </c>
      <c r="K349" s="295">
        <f>'7.  Persistence Report'!AZ82</f>
        <v>16221.94292</v>
      </c>
      <c r="L349" s="295">
        <f>'7.  Persistence Report'!BA82</f>
        <v>12389.3833</v>
      </c>
      <c r="M349" s="295">
        <f>'7.  Persistence Report'!BB82</f>
        <v>12389.3833</v>
      </c>
      <c r="N349" s="751"/>
      <c r="O349" s="295">
        <f>'7.  Persistence Report'!N82</f>
        <v>1.7723727760000001</v>
      </c>
      <c r="P349" s="295">
        <f>'7.  Persistence Report'!O82</f>
        <v>1.765087359</v>
      </c>
      <c r="Q349" s="295">
        <f>'7.  Persistence Report'!P82</f>
        <v>1.7610482139999999</v>
      </c>
      <c r="R349" s="295">
        <f>'7.  Persistence Report'!Q82</f>
        <v>1.706921637</v>
      </c>
      <c r="S349" s="295">
        <f>'7.  Persistence Report'!R82</f>
        <v>1.6815226780000001</v>
      </c>
      <c r="T349" s="295">
        <f>'7.  Persistence Report'!S82</f>
        <v>1.657530733</v>
      </c>
      <c r="U349" s="295">
        <f>'7.  Persistence Report'!T82</f>
        <v>1.657530733</v>
      </c>
      <c r="V349" s="295">
        <f>'7.  Persistence Report'!U82</f>
        <v>1.657530733</v>
      </c>
      <c r="W349" s="295">
        <f>'7.  Persistence Report'!V82</f>
        <v>1.4579721269999999</v>
      </c>
      <c r="X349" s="295">
        <f>'7.  Persistence Report'!W82</f>
        <v>1.4579721269999999</v>
      </c>
      <c r="Y349" s="760">
        <f>Y348</f>
        <v>1</v>
      </c>
      <c r="Z349" s="760">
        <f>Z348</f>
        <v>0</v>
      </c>
      <c r="AA349" s="760">
        <f t="shared" si="187" ref="AA349:AE349">AA348</f>
        <v>0</v>
      </c>
      <c r="AB349" s="760">
        <f t="shared" si="187"/>
        <v>0</v>
      </c>
      <c r="AC349" s="760">
        <f t="shared" si="187"/>
        <v>0</v>
      </c>
      <c r="AD349" s="760">
        <f t="shared" si="187"/>
        <v>0</v>
      </c>
      <c r="AE349" s="760">
        <f t="shared" si="187"/>
        <v>0</v>
      </c>
      <c r="AF349" s="410">
        <f t="shared" si="188" ref="AF349:AL349">AF348</f>
        <v>0</v>
      </c>
      <c r="AG349" s="410">
        <f t="shared" si="188"/>
        <v>0</v>
      </c>
      <c r="AH349" s="410">
        <f t="shared" si="188"/>
        <v>0</v>
      </c>
      <c r="AI349" s="410">
        <f t="shared" si="188"/>
        <v>0</v>
      </c>
      <c r="AJ349" s="410">
        <f t="shared" si="188"/>
        <v>0</v>
      </c>
      <c r="AK349" s="410">
        <f t="shared" si="188"/>
        <v>0</v>
      </c>
      <c r="AL349" s="410">
        <f t="shared" si="188"/>
        <v>0</v>
      </c>
      <c r="AM349" s="297"/>
    </row>
    <row r="350" spans="2:39" ht="15.5" outlineLevel="1">
      <c r="B350" s="315"/>
      <c r="C350" s="305"/>
      <c r="D350" s="750"/>
      <c r="E350" s="750"/>
      <c r="F350" s="750"/>
      <c r="G350" s="750"/>
      <c r="H350" s="750"/>
      <c r="I350" s="750"/>
      <c r="J350" s="750"/>
      <c r="K350" s="750"/>
      <c r="L350" s="750"/>
      <c r="M350" s="750"/>
      <c r="N350" s="750"/>
      <c r="O350" s="750"/>
      <c r="P350" s="750"/>
      <c r="Q350" s="750"/>
      <c r="R350" s="750"/>
      <c r="S350" s="750"/>
      <c r="T350" s="750"/>
      <c r="U350" s="750"/>
      <c r="V350" s="750"/>
      <c r="W350" s="750"/>
      <c r="X350" s="750"/>
      <c r="Y350" s="761"/>
      <c r="Z350" s="761"/>
      <c r="AA350" s="761"/>
      <c r="AB350" s="761"/>
      <c r="AC350" s="761"/>
      <c r="AD350" s="761"/>
      <c r="AE350" s="761"/>
      <c r="AF350" s="411"/>
      <c r="AG350" s="411"/>
      <c r="AH350" s="411"/>
      <c r="AI350" s="411"/>
      <c r="AJ350" s="411"/>
      <c r="AK350" s="411"/>
      <c r="AL350" s="411"/>
      <c r="AM350" s="306"/>
    </row>
    <row r="351" spans="1:39" s="293" customFormat="1" ht="15.5" outlineLevel="1">
      <c r="A351" s="504"/>
      <c r="B351" s="288" t="s">
        <v>487</v>
      </c>
      <c r="C351" s="289"/>
      <c r="D351" s="756"/>
      <c r="E351" s="756"/>
      <c r="F351" s="756"/>
      <c r="G351" s="756"/>
      <c r="H351" s="756"/>
      <c r="I351" s="756"/>
      <c r="J351" s="756"/>
      <c r="K351" s="756"/>
      <c r="L351" s="756"/>
      <c r="M351" s="756"/>
      <c r="N351" s="756"/>
      <c r="O351" s="756"/>
      <c r="P351" s="754"/>
      <c r="Q351" s="754"/>
      <c r="R351" s="754"/>
      <c r="S351" s="754"/>
      <c r="T351" s="754"/>
      <c r="U351" s="754"/>
      <c r="V351" s="754"/>
      <c r="W351" s="754"/>
      <c r="X351" s="754"/>
      <c r="Y351" s="763"/>
      <c r="Z351" s="763"/>
      <c r="AA351" s="763"/>
      <c r="AB351" s="763"/>
      <c r="AC351" s="763"/>
      <c r="AD351" s="763"/>
      <c r="AE351" s="763"/>
      <c r="AF351" s="413"/>
      <c r="AG351" s="413"/>
      <c r="AH351" s="413"/>
      <c r="AI351" s="413"/>
      <c r="AJ351" s="413"/>
      <c r="AK351" s="413"/>
      <c r="AL351" s="413"/>
      <c r="AM351" s="292"/>
    </row>
    <row r="352" spans="1:39" s="283" customFormat="1" ht="15.5" outlineLevel="1">
      <c r="A352" s="503">
        <v>24</v>
      </c>
      <c r="B352" s="315" t="s">
        <v>14</v>
      </c>
      <c r="C352" s="291" t="s">
        <v>25</v>
      </c>
      <c r="D352" s="295"/>
      <c r="E352" s="295"/>
      <c r="F352" s="295"/>
      <c r="G352" s="295"/>
      <c r="H352" s="295"/>
      <c r="I352" s="295"/>
      <c r="J352" s="295"/>
      <c r="K352" s="295"/>
      <c r="L352" s="295"/>
      <c r="M352" s="295"/>
      <c r="N352" s="750"/>
      <c r="O352" s="295"/>
      <c r="P352" s="295"/>
      <c r="Q352" s="295"/>
      <c r="R352" s="295"/>
      <c r="S352" s="295"/>
      <c r="T352" s="295"/>
      <c r="U352" s="295"/>
      <c r="V352" s="295"/>
      <c r="W352" s="295"/>
      <c r="X352" s="295"/>
      <c r="Y352" s="759"/>
      <c r="Z352" s="759"/>
      <c r="AA352" s="759"/>
      <c r="AB352" s="759"/>
      <c r="AC352" s="759"/>
      <c r="AD352" s="759"/>
      <c r="AE352" s="759"/>
      <c r="AF352" s="409"/>
      <c r="AG352" s="409"/>
      <c r="AH352" s="409"/>
      <c r="AI352" s="409"/>
      <c r="AJ352" s="409"/>
      <c r="AK352" s="409"/>
      <c r="AL352" s="409"/>
      <c r="AM352" s="296">
        <f>SUM(Y352:AL352)</f>
        <v>0</v>
      </c>
    </row>
    <row r="353" spans="1:39" s="283" customFormat="1" ht="15.5" outlineLevel="1">
      <c r="A353" s="503"/>
      <c r="B353" s="315" t="s">
        <v>249</v>
      </c>
      <c r="C353" s="291" t="s">
        <v>163</v>
      </c>
      <c r="D353" s="295"/>
      <c r="E353" s="295"/>
      <c r="F353" s="295"/>
      <c r="G353" s="295"/>
      <c r="H353" s="295"/>
      <c r="I353" s="295"/>
      <c r="J353" s="295"/>
      <c r="K353" s="295"/>
      <c r="L353" s="295"/>
      <c r="M353" s="295"/>
      <c r="N353" s="751"/>
      <c r="O353" s="295"/>
      <c r="P353" s="295"/>
      <c r="Q353" s="295"/>
      <c r="R353" s="295"/>
      <c r="S353" s="295"/>
      <c r="T353" s="295"/>
      <c r="U353" s="295"/>
      <c r="V353" s="295"/>
      <c r="W353" s="295"/>
      <c r="X353" s="295"/>
      <c r="Y353" s="760">
        <f>Y352</f>
        <v>0</v>
      </c>
      <c r="Z353" s="760">
        <f>Z352</f>
        <v>0</v>
      </c>
      <c r="AA353" s="760">
        <f t="shared" si="189" ref="AA353:AE353">AA352</f>
        <v>0</v>
      </c>
      <c r="AB353" s="760">
        <f t="shared" si="189"/>
        <v>0</v>
      </c>
      <c r="AC353" s="760">
        <f t="shared" si="189"/>
        <v>0</v>
      </c>
      <c r="AD353" s="760">
        <f t="shared" si="189"/>
        <v>0</v>
      </c>
      <c r="AE353" s="760">
        <f t="shared" si="189"/>
        <v>0</v>
      </c>
      <c r="AF353" s="410">
        <f t="shared" si="190" ref="AF353:AL353">AF352</f>
        <v>0</v>
      </c>
      <c r="AG353" s="410">
        <f t="shared" si="190"/>
        <v>0</v>
      </c>
      <c r="AH353" s="410">
        <f t="shared" si="190"/>
        <v>0</v>
      </c>
      <c r="AI353" s="410">
        <f t="shared" si="190"/>
        <v>0</v>
      </c>
      <c r="AJ353" s="410">
        <f t="shared" si="190"/>
        <v>0</v>
      </c>
      <c r="AK353" s="410">
        <f t="shared" si="190"/>
        <v>0</v>
      </c>
      <c r="AL353" s="410">
        <f t="shared" si="190"/>
        <v>0</v>
      </c>
      <c r="AM353" s="297"/>
    </row>
    <row r="354" spans="1:39" s="283" customFormat="1" ht="15.5" outlineLevel="1">
      <c r="A354" s="503"/>
      <c r="B354" s="315"/>
      <c r="C354" s="305"/>
      <c r="D354" s="750"/>
      <c r="E354" s="750"/>
      <c r="F354" s="750"/>
      <c r="G354" s="750"/>
      <c r="H354" s="750"/>
      <c r="I354" s="750"/>
      <c r="J354" s="750"/>
      <c r="K354" s="750"/>
      <c r="L354" s="750"/>
      <c r="M354" s="750"/>
      <c r="N354" s="750"/>
      <c r="O354" s="750"/>
      <c r="P354" s="750"/>
      <c r="Q354" s="750"/>
      <c r="R354" s="750"/>
      <c r="S354" s="750"/>
      <c r="T354" s="750"/>
      <c r="U354" s="750"/>
      <c r="V354" s="750"/>
      <c r="W354" s="750"/>
      <c r="X354" s="750"/>
      <c r="Y354" s="761"/>
      <c r="Z354" s="761"/>
      <c r="AA354" s="761"/>
      <c r="AB354" s="761"/>
      <c r="AC354" s="761"/>
      <c r="AD354" s="761"/>
      <c r="AE354" s="761"/>
      <c r="AF354" s="411"/>
      <c r="AG354" s="411"/>
      <c r="AH354" s="411"/>
      <c r="AI354" s="411"/>
      <c r="AJ354" s="411"/>
      <c r="AK354" s="411"/>
      <c r="AL354" s="411"/>
      <c r="AM354" s="306"/>
    </row>
    <row r="355" spans="1:39" s="283" customFormat="1" ht="15.5" outlineLevel="1">
      <c r="A355" s="503">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764"/>
      <c r="Z355" s="764"/>
      <c r="AA355" s="764"/>
      <c r="AB355" s="764"/>
      <c r="AC355" s="764"/>
      <c r="AD355" s="764"/>
      <c r="AE355" s="764"/>
      <c r="AF355" s="414"/>
      <c r="AG355" s="414"/>
      <c r="AH355" s="414"/>
      <c r="AI355" s="414"/>
      <c r="AJ355" s="414"/>
      <c r="AK355" s="414"/>
      <c r="AL355" s="414"/>
      <c r="AM355" s="296">
        <f>SUM(Y355:AL355)</f>
        <v>0</v>
      </c>
    </row>
    <row r="356" spans="1:39" s="283" customFormat="1" ht="15.5" outlineLevel="1">
      <c r="A356" s="503"/>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60">
        <f>Y355</f>
        <v>0</v>
      </c>
      <c r="Z356" s="760">
        <f>Z355</f>
        <v>0</v>
      </c>
      <c r="AA356" s="760">
        <f t="shared" si="191" ref="AA356:AE356">AA355</f>
        <v>0</v>
      </c>
      <c r="AB356" s="760">
        <f t="shared" si="191"/>
        <v>0</v>
      </c>
      <c r="AC356" s="760">
        <f t="shared" si="191"/>
        <v>0</v>
      </c>
      <c r="AD356" s="760">
        <f t="shared" si="191"/>
        <v>0</v>
      </c>
      <c r="AE356" s="760">
        <f t="shared" si="191"/>
        <v>0</v>
      </c>
      <c r="AF356" s="410">
        <f t="shared" si="192" ref="AF356:AL356">AF355</f>
        <v>0</v>
      </c>
      <c r="AG356" s="410">
        <f t="shared" si="192"/>
        <v>0</v>
      </c>
      <c r="AH356" s="410">
        <f t="shared" si="192"/>
        <v>0</v>
      </c>
      <c r="AI356" s="410">
        <f t="shared" si="192"/>
        <v>0</v>
      </c>
      <c r="AJ356" s="410">
        <f t="shared" si="192"/>
        <v>0</v>
      </c>
      <c r="AK356" s="410">
        <f t="shared" si="192"/>
        <v>0</v>
      </c>
      <c r="AL356" s="410">
        <f t="shared" si="192"/>
        <v>0</v>
      </c>
      <c r="AM356" s="311"/>
    </row>
    <row r="357" spans="1:39" s="283" customFormat="1" ht="15.5" outlineLevel="1">
      <c r="A357" s="503"/>
      <c r="B357" s="314"/>
      <c r="C357" s="312"/>
      <c r="D357" s="750"/>
      <c r="E357" s="750"/>
      <c r="F357" s="750"/>
      <c r="G357" s="750"/>
      <c r="H357" s="750"/>
      <c r="I357" s="750"/>
      <c r="J357" s="750"/>
      <c r="K357" s="750"/>
      <c r="L357" s="750"/>
      <c r="M357" s="750"/>
      <c r="N357" s="750"/>
      <c r="O357" s="750"/>
      <c r="P357" s="750"/>
      <c r="Q357" s="750"/>
      <c r="R357" s="750"/>
      <c r="S357" s="750"/>
      <c r="T357" s="750"/>
      <c r="U357" s="750"/>
      <c r="V357" s="750"/>
      <c r="W357" s="750"/>
      <c r="X357" s="750"/>
      <c r="Y357" s="765"/>
      <c r="Z357" s="766"/>
      <c r="AA357" s="765"/>
      <c r="AB357" s="765"/>
      <c r="AC357" s="765"/>
      <c r="AD357" s="765"/>
      <c r="AE357" s="765"/>
      <c r="AF357" s="415"/>
      <c r="AG357" s="415"/>
      <c r="AH357" s="415"/>
      <c r="AI357" s="415"/>
      <c r="AJ357" s="415"/>
      <c r="AK357" s="415"/>
      <c r="AL357" s="415"/>
      <c r="AM357" s="313"/>
    </row>
    <row r="358" spans="1:39" ht="15.5" outlineLevel="1">
      <c r="A358" s="504"/>
      <c r="B358" s="288" t="s">
        <v>15</v>
      </c>
      <c r="C358" s="319"/>
      <c r="D358" s="756"/>
      <c r="E358" s="754"/>
      <c r="F358" s="754"/>
      <c r="G358" s="754"/>
      <c r="H358" s="754"/>
      <c r="I358" s="754"/>
      <c r="J358" s="754"/>
      <c r="K358" s="754"/>
      <c r="L358" s="754"/>
      <c r="M358" s="754"/>
      <c r="N358" s="750"/>
      <c r="O358" s="756"/>
      <c r="P358" s="754"/>
      <c r="Q358" s="754"/>
      <c r="R358" s="754"/>
      <c r="S358" s="754"/>
      <c r="T358" s="754"/>
      <c r="U358" s="754"/>
      <c r="V358" s="754"/>
      <c r="W358" s="754"/>
      <c r="X358" s="754"/>
      <c r="Y358" s="763"/>
      <c r="Z358" s="763"/>
      <c r="AA358" s="763"/>
      <c r="AB358" s="763"/>
      <c r="AC358" s="763"/>
      <c r="AD358" s="763"/>
      <c r="AE358" s="763"/>
      <c r="AF358" s="413"/>
      <c r="AG358" s="413"/>
      <c r="AH358" s="413"/>
      <c r="AI358" s="413"/>
      <c r="AJ358" s="413"/>
      <c r="AK358" s="413"/>
      <c r="AL358" s="413"/>
      <c r="AM358" s="292"/>
    </row>
    <row r="359" spans="1:39" ht="15.5" outlineLevel="1">
      <c r="A359" s="503">
        <v>26</v>
      </c>
      <c r="B359" s="320"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76"/>
      <c r="Z359" s="764"/>
      <c r="AA359" s="764"/>
      <c r="AB359" s="764"/>
      <c r="AC359" s="764"/>
      <c r="AD359" s="764"/>
      <c r="AE359" s="764"/>
      <c r="AF359" s="414"/>
      <c r="AG359" s="414"/>
      <c r="AH359" s="414"/>
      <c r="AI359" s="414"/>
      <c r="AJ359" s="414"/>
      <c r="AK359" s="414"/>
      <c r="AL359" s="414"/>
      <c r="AM359" s="296">
        <f>SUM(Y359:AL359)</f>
        <v>0</v>
      </c>
    </row>
    <row r="360" spans="2: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60">
        <f>Y359</f>
        <v>0</v>
      </c>
      <c r="Z360" s="760">
        <f>Z359</f>
        <v>0</v>
      </c>
      <c r="AA360" s="760">
        <f t="shared" si="193" ref="AA360:AE360">AA359</f>
        <v>0</v>
      </c>
      <c r="AB360" s="760">
        <f t="shared" si="193"/>
        <v>0</v>
      </c>
      <c r="AC360" s="760">
        <f t="shared" si="193"/>
        <v>0</v>
      </c>
      <c r="AD360" s="760">
        <f t="shared" si="193"/>
        <v>0</v>
      </c>
      <c r="AE360" s="760">
        <f t="shared" si="193"/>
        <v>0</v>
      </c>
      <c r="AF360" s="410">
        <f t="shared" si="194" ref="AF360:AL360">AF359</f>
        <v>0</v>
      </c>
      <c r="AG360" s="410">
        <f t="shared" si="194"/>
        <v>0</v>
      </c>
      <c r="AH360" s="410">
        <f t="shared" si="194"/>
        <v>0</v>
      </c>
      <c r="AI360" s="410">
        <f t="shared" si="194"/>
        <v>0</v>
      </c>
      <c r="AJ360" s="410">
        <f t="shared" si="194"/>
        <v>0</v>
      </c>
      <c r="AK360" s="410">
        <f t="shared" si="194"/>
        <v>0</v>
      </c>
      <c r="AL360" s="410">
        <f t="shared" si="194"/>
        <v>0</v>
      </c>
      <c r="AM360" s="306"/>
    </row>
    <row r="361" spans="1:39" ht="15.5" outlineLevel="1">
      <c r="A361" s="506"/>
      <c r="B361" s="321"/>
      <c r="C361" s="291"/>
      <c r="D361" s="750"/>
      <c r="E361" s="750"/>
      <c r="F361" s="750"/>
      <c r="G361" s="750"/>
      <c r="H361" s="750"/>
      <c r="I361" s="750"/>
      <c r="J361" s="750"/>
      <c r="K361" s="750"/>
      <c r="L361" s="750"/>
      <c r="M361" s="750"/>
      <c r="N361" s="750"/>
      <c r="O361" s="750"/>
      <c r="P361" s="750"/>
      <c r="Q361" s="750"/>
      <c r="R361" s="750"/>
      <c r="S361" s="750"/>
      <c r="T361" s="750"/>
      <c r="U361" s="750"/>
      <c r="V361" s="750"/>
      <c r="W361" s="750"/>
      <c r="X361" s="750"/>
      <c r="Y361" s="772"/>
      <c r="Z361" s="773"/>
      <c r="AA361" s="773"/>
      <c r="AB361" s="773"/>
      <c r="AC361" s="773"/>
      <c r="AD361" s="773"/>
      <c r="AE361" s="773"/>
      <c r="AF361" s="421"/>
      <c r="AG361" s="421"/>
      <c r="AH361" s="421"/>
      <c r="AI361" s="421"/>
      <c r="AJ361" s="421"/>
      <c r="AK361" s="421"/>
      <c r="AL361" s="421"/>
      <c r="AM361" s="297"/>
    </row>
    <row r="362" spans="1:39" ht="15.5" outlineLevel="1">
      <c r="A362" s="503">
        <v>27</v>
      </c>
      <c r="B362" s="320"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76"/>
      <c r="Z362" s="764"/>
      <c r="AA362" s="764"/>
      <c r="AB362" s="764"/>
      <c r="AC362" s="764"/>
      <c r="AD362" s="764"/>
      <c r="AE362" s="764"/>
      <c r="AF362" s="414"/>
      <c r="AG362" s="414"/>
      <c r="AH362" s="414"/>
      <c r="AI362" s="414"/>
      <c r="AJ362" s="414"/>
      <c r="AK362" s="414"/>
      <c r="AL362" s="414"/>
      <c r="AM362" s="296">
        <f>SUM(Y362:AL362)</f>
        <v>0</v>
      </c>
    </row>
    <row r="363" spans="2: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60">
        <f>Y362</f>
        <v>0</v>
      </c>
      <c r="Z363" s="760">
        <f>Z362</f>
        <v>0</v>
      </c>
      <c r="AA363" s="760">
        <f t="shared" si="195" ref="AA363:AE363">AA362</f>
        <v>0</v>
      </c>
      <c r="AB363" s="760">
        <f t="shared" si="195"/>
        <v>0</v>
      </c>
      <c r="AC363" s="760">
        <f t="shared" si="195"/>
        <v>0</v>
      </c>
      <c r="AD363" s="760">
        <f t="shared" si="195"/>
        <v>0</v>
      </c>
      <c r="AE363" s="760">
        <f t="shared" si="195"/>
        <v>0</v>
      </c>
      <c r="AF363" s="410">
        <f t="shared" si="196" ref="AF363:AL363">AF362</f>
        <v>0</v>
      </c>
      <c r="AG363" s="410">
        <f t="shared" si="196"/>
        <v>0</v>
      </c>
      <c r="AH363" s="410">
        <f t="shared" si="196"/>
        <v>0</v>
      </c>
      <c r="AI363" s="410">
        <f t="shared" si="196"/>
        <v>0</v>
      </c>
      <c r="AJ363" s="410">
        <f t="shared" si="196"/>
        <v>0</v>
      </c>
      <c r="AK363" s="410">
        <f t="shared" si="196"/>
        <v>0</v>
      </c>
      <c r="AL363" s="410">
        <f t="shared" si="196"/>
        <v>0</v>
      </c>
      <c r="AM363" s="306"/>
    </row>
    <row r="364" spans="1:39" ht="15.5" outlineLevel="1">
      <c r="A364" s="506"/>
      <c r="B364" s="322"/>
      <c r="C364" s="300"/>
      <c r="D364" s="750"/>
      <c r="E364" s="750"/>
      <c r="F364" s="750"/>
      <c r="G364" s="750"/>
      <c r="H364" s="750"/>
      <c r="I364" s="750"/>
      <c r="J364" s="750"/>
      <c r="K364" s="750"/>
      <c r="L364" s="750"/>
      <c r="M364" s="750"/>
      <c r="N364" s="758"/>
      <c r="O364" s="750"/>
      <c r="P364" s="750"/>
      <c r="Q364" s="750"/>
      <c r="R364" s="750"/>
      <c r="S364" s="750"/>
      <c r="T364" s="750"/>
      <c r="U364" s="750"/>
      <c r="V364" s="750"/>
      <c r="W364" s="750"/>
      <c r="X364" s="750"/>
      <c r="Y364" s="761"/>
      <c r="Z364" s="761"/>
      <c r="AA364" s="761"/>
      <c r="AB364" s="761"/>
      <c r="AC364" s="761"/>
      <c r="AD364" s="761"/>
      <c r="AE364" s="761"/>
      <c r="AF364" s="411"/>
      <c r="AG364" s="411"/>
      <c r="AH364" s="411"/>
      <c r="AI364" s="411"/>
      <c r="AJ364" s="411"/>
      <c r="AK364" s="411"/>
      <c r="AL364" s="411"/>
      <c r="AM364" s="306"/>
    </row>
    <row r="365" spans="1:39" ht="15.5" outlineLevel="1">
      <c r="A365" s="503">
        <v>28</v>
      </c>
      <c r="B365" s="320"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76"/>
      <c r="Z365" s="764"/>
      <c r="AA365" s="764"/>
      <c r="AB365" s="764"/>
      <c r="AC365" s="764"/>
      <c r="AD365" s="764"/>
      <c r="AE365" s="764"/>
      <c r="AF365" s="414"/>
      <c r="AG365" s="414"/>
      <c r="AH365" s="414"/>
      <c r="AI365" s="414"/>
      <c r="AJ365" s="414"/>
      <c r="AK365" s="414"/>
      <c r="AL365" s="414"/>
      <c r="AM365" s="296">
        <f>SUM(Y365:AL365)</f>
        <v>0</v>
      </c>
    </row>
    <row r="366" spans="2: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60">
        <f>Y365</f>
        <v>0</v>
      </c>
      <c r="Z366" s="760">
        <f>Z365</f>
        <v>0</v>
      </c>
      <c r="AA366" s="760">
        <f t="shared" si="197" ref="AA366:AE366">AA365</f>
        <v>0</v>
      </c>
      <c r="AB366" s="760">
        <f t="shared" si="197"/>
        <v>0</v>
      </c>
      <c r="AC366" s="760">
        <f t="shared" si="197"/>
        <v>0</v>
      </c>
      <c r="AD366" s="760">
        <f t="shared" si="197"/>
        <v>0</v>
      </c>
      <c r="AE366" s="760">
        <f t="shared" si="197"/>
        <v>0</v>
      </c>
      <c r="AF366" s="410">
        <f t="shared" si="198" ref="AF366:AL366">AF365</f>
        <v>0</v>
      </c>
      <c r="AG366" s="410">
        <f t="shared" si="198"/>
        <v>0</v>
      </c>
      <c r="AH366" s="410">
        <f t="shared" si="198"/>
        <v>0</v>
      </c>
      <c r="AI366" s="410">
        <f t="shared" si="198"/>
        <v>0</v>
      </c>
      <c r="AJ366" s="410">
        <f t="shared" si="198"/>
        <v>0</v>
      </c>
      <c r="AK366" s="410">
        <f t="shared" si="198"/>
        <v>0</v>
      </c>
      <c r="AL366" s="410">
        <f t="shared" si="198"/>
        <v>0</v>
      </c>
      <c r="AM366" s="297"/>
    </row>
    <row r="367" spans="1:39" ht="15.5" outlineLevel="1">
      <c r="A367" s="506"/>
      <c r="B367" s="321"/>
      <c r="C367" s="291"/>
      <c r="D367" s="750"/>
      <c r="E367" s="750"/>
      <c r="F367" s="750"/>
      <c r="G367" s="750"/>
      <c r="H367" s="750"/>
      <c r="I367" s="750"/>
      <c r="J367" s="750"/>
      <c r="K367" s="750"/>
      <c r="L367" s="750"/>
      <c r="M367" s="750"/>
      <c r="N367" s="750"/>
      <c r="O367" s="750"/>
      <c r="P367" s="750"/>
      <c r="Q367" s="750"/>
      <c r="R367" s="750"/>
      <c r="S367" s="750"/>
      <c r="T367" s="750"/>
      <c r="U367" s="750"/>
      <c r="V367" s="750"/>
      <c r="W367" s="750"/>
      <c r="X367" s="750"/>
      <c r="Y367" s="761"/>
      <c r="Z367" s="761"/>
      <c r="AA367" s="761"/>
      <c r="AB367" s="761"/>
      <c r="AC367" s="761"/>
      <c r="AD367" s="761"/>
      <c r="AE367" s="761"/>
      <c r="AF367" s="411"/>
      <c r="AG367" s="411"/>
      <c r="AH367" s="411"/>
      <c r="AI367" s="411"/>
      <c r="AJ367" s="411"/>
      <c r="AK367" s="411"/>
      <c r="AL367" s="411"/>
      <c r="AM367" s="306"/>
    </row>
    <row r="368" spans="1:39" ht="15.5" outlineLevel="1">
      <c r="A368" s="503">
        <v>29</v>
      </c>
      <c r="B368" s="323"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76"/>
      <c r="Z368" s="764"/>
      <c r="AA368" s="764"/>
      <c r="AB368" s="764"/>
      <c r="AC368" s="764"/>
      <c r="AD368" s="764"/>
      <c r="AE368" s="764"/>
      <c r="AF368" s="414"/>
      <c r="AG368" s="414"/>
      <c r="AH368" s="414"/>
      <c r="AI368" s="414"/>
      <c r="AJ368" s="414"/>
      <c r="AK368" s="414"/>
      <c r="AL368" s="414"/>
      <c r="AM368" s="296">
        <f>SUM(Y368:AL368)</f>
        <v>0</v>
      </c>
    </row>
    <row r="369" spans="2:39" ht="15.5" outlineLevel="1">
      <c r="B369" s="323"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60">
        <f>Y368</f>
        <v>0</v>
      </c>
      <c r="Z369" s="760">
        <f t="shared" si="199" ref="Z369:AE369">Z368</f>
        <v>0</v>
      </c>
      <c r="AA369" s="760">
        <f t="shared" si="199"/>
        <v>0</v>
      </c>
      <c r="AB369" s="760">
        <f t="shared" si="199"/>
        <v>0</v>
      </c>
      <c r="AC369" s="760">
        <f t="shared" si="199"/>
        <v>0</v>
      </c>
      <c r="AD369" s="760">
        <f t="shared" si="199"/>
        <v>0</v>
      </c>
      <c r="AE369" s="760">
        <f t="shared" si="199"/>
        <v>0</v>
      </c>
      <c r="AF369" s="410">
        <f t="shared" si="200" ref="AF369:AL369">AF368</f>
        <v>0</v>
      </c>
      <c r="AG369" s="410">
        <f t="shared" si="200"/>
        <v>0</v>
      </c>
      <c r="AH369" s="410">
        <f t="shared" si="200"/>
        <v>0</v>
      </c>
      <c r="AI369" s="410">
        <f t="shared" si="200"/>
        <v>0</v>
      </c>
      <c r="AJ369" s="410">
        <f t="shared" si="200"/>
        <v>0</v>
      </c>
      <c r="AK369" s="410">
        <f t="shared" si="200"/>
        <v>0</v>
      </c>
      <c r="AL369" s="410">
        <f t="shared" si="200"/>
        <v>0</v>
      </c>
      <c r="AM369" s="297"/>
    </row>
    <row r="370" spans="2:39" ht="15.5" outlineLevel="1">
      <c r="B370" s="323"/>
      <c r="C370" s="291"/>
      <c r="D370" s="750"/>
      <c r="E370" s="750"/>
      <c r="F370" s="750"/>
      <c r="G370" s="750"/>
      <c r="H370" s="750"/>
      <c r="I370" s="750"/>
      <c r="J370" s="750"/>
      <c r="K370" s="750"/>
      <c r="L370" s="750"/>
      <c r="M370" s="750"/>
      <c r="N370" s="750"/>
      <c r="O370" s="750"/>
      <c r="P370" s="750"/>
      <c r="Q370" s="750"/>
      <c r="R370" s="750"/>
      <c r="S370" s="750"/>
      <c r="T370" s="750"/>
      <c r="U370" s="750"/>
      <c r="V370" s="750"/>
      <c r="W370" s="750"/>
      <c r="X370" s="750"/>
      <c r="Y370" s="772"/>
      <c r="Z370" s="772"/>
      <c r="AA370" s="772"/>
      <c r="AB370" s="772"/>
      <c r="AC370" s="772"/>
      <c r="AD370" s="772"/>
      <c r="AE370" s="772"/>
      <c r="AF370" s="420"/>
      <c r="AG370" s="420"/>
      <c r="AH370" s="420"/>
      <c r="AI370" s="420"/>
      <c r="AJ370" s="420"/>
      <c r="AK370" s="420"/>
      <c r="AL370" s="420"/>
      <c r="AM370" s="313"/>
    </row>
    <row r="371" spans="1:39" s="283" customFormat="1" ht="15.5" outlineLevel="1">
      <c r="A371" s="503">
        <v>30</v>
      </c>
      <c r="B371" s="323"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59"/>
      <c r="Z371" s="759"/>
      <c r="AA371" s="759"/>
      <c r="AB371" s="759"/>
      <c r="AC371" s="759"/>
      <c r="AD371" s="759"/>
      <c r="AE371" s="759"/>
      <c r="AF371" s="409"/>
      <c r="AG371" s="409"/>
      <c r="AH371" s="409"/>
      <c r="AI371" s="409"/>
      <c r="AJ371" s="409"/>
      <c r="AK371" s="409"/>
      <c r="AL371" s="409"/>
      <c r="AM371" s="296">
        <f>SUM(Y371:AL371)</f>
        <v>0</v>
      </c>
    </row>
    <row r="372" spans="1:39" s="283" customFormat="1" ht="15.5" outlineLevel="1">
      <c r="A372" s="503"/>
      <c r="B372" s="323"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60">
        <f>Y371</f>
        <v>0</v>
      </c>
      <c r="Z372" s="760">
        <f t="shared" si="201" ref="Z372:AE372">Z371</f>
        <v>0</v>
      </c>
      <c r="AA372" s="760">
        <f t="shared" si="201"/>
        <v>0</v>
      </c>
      <c r="AB372" s="760">
        <f t="shared" si="201"/>
        <v>0</v>
      </c>
      <c r="AC372" s="760">
        <f t="shared" si="201"/>
        <v>0</v>
      </c>
      <c r="AD372" s="760">
        <f t="shared" si="201"/>
        <v>0</v>
      </c>
      <c r="AE372" s="760">
        <f t="shared" si="201"/>
        <v>0</v>
      </c>
      <c r="AF372" s="410">
        <f t="shared" si="202" ref="AF372:AL372">AF371</f>
        <v>0</v>
      </c>
      <c r="AG372" s="410">
        <f t="shared" si="202"/>
        <v>0</v>
      </c>
      <c r="AH372" s="410">
        <f t="shared" si="202"/>
        <v>0</v>
      </c>
      <c r="AI372" s="410">
        <f t="shared" si="202"/>
        <v>0</v>
      </c>
      <c r="AJ372" s="410">
        <f t="shared" si="202"/>
        <v>0</v>
      </c>
      <c r="AK372" s="410">
        <f t="shared" si="202"/>
        <v>0</v>
      </c>
      <c r="AL372" s="410">
        <f t="shared" si="202"/>
        <v>0</v>
      </c>
      <c r="AM372" s="297"/>
    </row>
    <row r="373" spans="1:39" s="283" customFormat="1" ht="15.5" outlineLevel="1">
      <c r="A373" s="503"/>
      <c r="B373" s="323"/>
      <c r="C373" s="291"/>
      <c r="D373" s="750"/>
      <c r="E373" s="750"/>
      <c r="F373" s="750"/>
      <c r="G373" s="750"/>
      <c r="H373" s="750"/>
      <c r="I373" s="750"/>
      <c r="J373" s="750"/>
      <c r="K373" s="750"/>
      <c r="L373" s="750"/>
      <c r="M373" s="750"/>
      <c r="N373" s="750"/>
      <c r="O373" s="750"/>
      <c r="P373" s="750"/>
      <c r="Q373" s="750"/>
      <c r="R373" s="750"/>
      <c r="S373" s="750"/>
      <c r="T373" s="750"/>
      <c r="U373" s="750"/>
      <c r="V373" s="750"/>
      <c r="W373" s="750"/>
      <c r="X373" s="750"/>
      <c r="Y373" s="761"/>
      <c r="Z373" s="761"/>
      <c r="AA373" s="761"/>
      <c r="AB373" s="761"/>
      <c r="AC373" s="761"/>
      <c r="AD373" s="761"/>
      <c r="AE373" s="761"/>
      <c r="AF373" s="411"/>
      <c r="AG373" s="411"/>
      <c r="AH373" s="411"/>
      <c r="AI373" s="411"/>
      <c r="AJ373" s="411"/>
      <c r="AK373" s="411"/>
      <c r="AL373" s="411"/>
      <c r="AM373" s="313"/>
    </row>
    <row r="374" spans="1:39" s="283" customFormat="1" ht="15.5" outlineLevel="1">
      <c r="A374" s="503"/>
      <c r="B374" s="288" t="s">
        <v>489</v>
      </c>
      <c r="C374" s="291"/>
      <c r="D374" s="750"/>
      <c r="E374" s="750"/>
      <c r="F374" s="750"/>
      <c r="G374" s="750"/>
      <c r="H374" s="750"/>
      <c r="I374" s="750"/>
      <c r="J374" s="750"/>
      <c r="K374" s="750"/>
      <c r="L374" s="750"/>
      <c r="M374" s="750"/>
      <c r="N374" s="750"/>
      <c r="O374" s="750"/>
      <c r="P374" s="750"/>
      <c r="Q374" s="750"/>
      <c r="R374" s="750"/>
      <c r="S374" s="750"/>
      <c r="T374" s="750"/>
      <c r="U374" s="750"/>
      <c r="V374" s="750"/>
      <c r="W374" s="750"/>
      <c r="X374" s="750"/>
      <c r="Y374" s="761"/>
      <c r="Z374" s="761"/>
      <c r="AA374" s="761"/>
      <c r="AB374" s="761"/>
      <c r="AC374" s="761"/>
      <c r="AD374" s="761"/>
      <c r="AE374" s="761"/>
      <c r="AF374" s="411"/>
      <c r="AG374" s="411"/>
      <c r="AH374" s="411"/>
      <c r="AI374" s="411"/>
      <c r="AJ374" s="411"/>
      <c r="AK374" s="411"/>
      <c r="AL374" s="411"/>
      <c r="AM374" s="313"/>
    </row>
    <row r="375" spans="1:39" s="283" customFormat="1" ht="15.5" outlineLevel="1">
      <c r="A375" s="503">
        <v>31</v>
      </c>
      <c r="B375" s="323"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759"/>
      <c r="Z375" s="759"/>
      <c r="AA375" s="759"/>
      <c r="AB375" s="759"/>
      <c r="AC375" s="759"/>
      <c r="AD375" s="759"/>
      <c r="AE375" s="759"/>
      <c r="AF375" s="409"/>
      <c r="AG375" s="409"/>
      <c r="AH375" s="409"/>
      <c r="AI375" s="409"/>
      <c r="AJ375" s="409"/>
      <c r="AK375" s="409"/>
      <c r="AL375" s="409"/>
      <c r="AM375" s="296">
        <f>SUM(Y375:AL375)</f>
        <v>0</v>
      </c>
    </row>
    <row r="376" spans="1:39" s="283" customFormat="1" ht="15.5" outlineLevel="1">
      <c r="A376" s="503"/>
      <c r="B376" s="323"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60">
        <f>Y375</f>
        <v>0</v>
      </c>
      <c r="Z376" s="760">
        <f t="shared" si="203" ref="Z376:AE376">Z375</f>
        <v>0</v>
      </c>
      <c r="AA376" s="760">
        <f t="shared" si="203"/>
        <v>0</v>
      </c>
      <c r="AB376" s="760">
        <f t="shared" si="203"/>
        <v>0</v>
      </c>
      <c r="AC376" s="760">
        <f t="shared" si="203"/>
        <v>0</v>
      </c>
      <c r="AD376" s="760">
        <f t="shared" si="203"/>
        <v>0</v>
      </c>
      <c r="AE376" s="760">
        <f t="shared" si="203"/>
        <v>0</v>
      </c>
      <c r="AF376" s="410">
        <f t="shared" si="204" ref="AF376:AL376">AF375</f>
        <v>0</v>
      </c>
      <c r="AG376" s="410">
        <f t="shared" si="204"/>
        <v>0</v>
      </c>
      <c r="AH376" s="410">
        <f t="shared" si="204"/>
        <v>0</v>
      </c>
      <c r="AI376" s="410">
        <f t="shared" si="204"/>
        <v>0</v>
      </c>
      <c r="AJ376" s="410">
        <f t="shared" si="204"/>
        <v>0</v>
      </c>
      <c r="AK376" s="410">
        <f t="shared" si="204"/>
        <v>0</v>
      </c>
      <c r="AL376" s="410">
        <f t="shared" si="204"/>
        <v>0</v>
      </c>
      <c r="AM376" s="297"/>
    </row>
    <row r="377" spans="1:39" s="283" customFormat="1" ht="15.5" outlineLevel="1">
      <c r="A377" s="503"/>
      <c r="B377" s="323"/>
      <c r="C377" s="291"/>
      <c r="D377" s="750"/>
      <c r="E377" s="750"/>
      <c r="F377" s="750"/>
      <c r="G377" s="750"/>
      <c r="H377" s="750"/>
      <c r="I377" s="750"/>
      <c r="J377" s="750"/>
      <c r="K377" s="750"/>
      <c r="L377" s="750"/>
      <c r="M377" s="750"/>
      <c r="N377" s="750"/>
      <c r="O377" s="750"/>
      <c r="P377" s="750"/>
      <c r="Q377" s="750"/>
      <c r="R377" s="750"/>
      <c r="S377" s="750"/>
      <c r="T377" s="750"/>
      <c r="U377" s="750"/>
      <c r="V377" s="750"/>
      <c r="W377" s="750"/>
      <c r="X377" s="750"/>
      <c r="Y377" s="761"/>
      <c r="Z377" s="761"/>
      <c r="AA377" s="761"/>
      <c r="AB377" s="761"/>
      <c r="AC377" s="761"/>
      <c r="AD377" s="761"/>
      <c r="AE377" s="761"/>
      <c r="AF377" s="411"/>
      <c r="AG377" s="411"/>
      <c r="AH377" s="411"/>
      <c r="AI377" s="411"/>
      <c r="AJ377" s="411"/>
      <c r="AK377" s="411"/>
      <c r="AL377" s="411"/>
      <c r="AM377" s="313"/>
    </row>
    <row r="378" spans="1:39" s="283" customFormat="1" ht="15.5" outlineLevel="1">
      <c r="A378" s="503">
        <v>32</v>
      </c>
      <c r="B378" s="323"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59"/>
      <c r="Z378" s="759"/>
      <c r="AA378" s="759"/>
      <c r="AB378" s="759"/>
      <c r="AC378" s="759"/>
      <c r="AD378" s="759"/>
      <c r="AE378" s="759"/>
      <c r="AF378" s="409"/>
      <c r="AG378" s="409"/>
      <c r="AH378" s="409"/>
      <c r="AI378" s="409"/>
      <c r="AJ378" s="409"/>
      <c r="AK378" s="409"/>
      <c r="AL378" s="409"/>
      <c r="AM378" s="296">
        <f>SUM(Y378:AL378)</f>
        <v>0</v>
      </c>
    </row>
    <row r="379" spans="1:39" s="283" customFormat="1" ht="15.5" outlineLevel="1">
      <c r="A379" s="503"/>
      <c r="B379" s="323"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60">
        <f>Y378</f>
        <v>0</v>
      </c>
      <c r="Z379" s="760">
        <f t="shared" si="205" ref="Z379:AE379">Z378</f>
        <v>0</v>
      </c>
      <c r="AA379" s="760">
        <f t="shared" si="205"/>
        <v>0</v>
      </c>
      <c r="AB379" s="760">
        <f t="shared" si="205"/>
        <v>0</v>
      </c>
      <c r="AC379" s="760">
        <f t="shared" si="205"/>
        <v>0</v>
      </c>
      <c r="AD379" s="760">
        <f t="shared" si="205"/>
        <v>0</v>
      </c>
      <c r="AE379" s="760">
        <f t="shared" si="205"/>
        <v>0</v>
      </c>
      <c r="AF379" s="410">
        <f t="shared" si="206" ref="AF379:AL379">AF378</f>
        <v>0</v>
      </c>
      <c r="AG379" s="410">
        <f t="shared" si="206"/>
        <v>0</v>
      </c>
      <c r="AH379" s="410">
        <f t="shared" si="206"/>
        <v>0</v>
      </c>
      <c r="AI379" s="410">
        <f t="shared" si="206"/>
        <v>0</v>
      </c>
      <c r="AJ379" s="410">
        <f t="shared" si="206"/>
        <v>0</v>
      </c>
      <c r="AK379" s="410">
        <f t="shared" si="206"/>
        <v>0</v>
      </c>
      <c r="AL379" s="410">
        <f t="shared" si="206"/>
        <v>0</v>
      </c>
      <c r="AM379" s="297"/>
    </row>
    <row r="380" spans="1:39" s="283" customFormat="1" ht="15.5" outlineLevel="1">
      <c r="A380" s="503"/>
      <c r="B380" s="323"/>
      <c r="C380" s="291"/>
      <c r="D380" s="750"/>
      <c r="E380" s="750"/>
      <c r="F380" s="750"/>
      <c r="G380" s="750"/>
      <c r="H380" s="750"/>
      <c r="I380" s="750"/>
      <c r="J380" s="750"/>
      <c r="K380" s="750"/>
      <c r="L380" s="750"/>
      <c r="M380" s="750"/>
      <c r="N380" s="750"/>
      <c r="O380" s="750"/>
      <c r="P380" s="750"/>
      <c r="Q380" s="750"/>
      <c r="R380" s="750"/>
      <c r="S380" s="750"/>
      <c r="T380" s="750"/>
      <c r="U380" s="750"/>
      <c r="V380" s="750"/>
      <c r="W380" s="750"/>
      <c r="X380" s="750"/>
      <c r="Y380" s="761"/>
      <c r="Z380" s="761"/>
      <c r="AA380" s="761"/>
      <c r="AB380" s="761"/>
      <c r="AC380" s="761"/>
      <c r="AD380" s="761"/>
      <c r="AE380" s="761"/>
      <c r="AF380" s="411"/>
      <c r="AG380" s="411"/>
      <c r="AH380" s="411"/>
      <c r="AI380" s="411"/>
      <c r="AJ380" s="411"/>
      <c r="AK380" s="411"/>
      <c r="AL380" s="411"/>
      <c r="AM380" s="313"/>
    </row>
    <row r="381" spans="1:39" s="283" customFormat="1" ht="15.5" outlineLevel="1">
      <c r="A381" s="503">
        <v>33</v>
      </c>
      <c r="B381" s="323"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759"/>
      <c r="Z381" s="759"/>
      <c r="AA381" s="759"/>
      <c r="AB381" s="759"/>
      <c r="AC381" s="759"/>
      <c r="AD381" s="759"/>
      <c r="AE381" s="759"/>
      <c r="AF381" s="409"/>
      <c r="AG381" s="409"/>
      <c r="AH381" s="409"/>
      <c r="AI381" s="409"/>
      <c r="AJ381" s="409"/>
      <c r="AK381" s="409"/>
      <c r="AL381" s="409"/>
      <c r="AM381" s="296">
        <f>SUM(Y381:AL381)</f>
        <v>0</v>
      </c>
    </row>
    <row r="382" spans="1:39" s="283" customFormat="1" ht="15.5" outlineLevel="1">
      <c r="A382" s="503"/>
      <c r="B382" s="323"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60">
        <f>Y381</f>
        <v>0</v>
      </c>
      <c r="Z382" s="760">
        <f t="shared" si="207" ref="Z382:AE382">Z381</f>
        <v>0</v>
      </c>
      <c r="AA382" s="760">
        <f t="shared" si="207"/>
        <v>0</v>
      </c>
      <c r="AB382" s="760">
        <f t="shared" si="207"/>
        <v>0</v>
      </c>
      <c r="AC382" s="760">
        <f t="shared" si="207"/>
        <v>0</v>
      </c>
      <c r="AD382" s="760">
        <f t="shared" si="207"/>
        <v>0</v>
      </c>
      <c r="AE382" s="760">
        <f t="shared" si="207"/>
        <v>0</v>
      </c>
      <c r="AF382" s="410">
        <f t="shared" si="208" ref="AF382:AK382">AF381</f>
        <v>0</v>
      </c>
      <c r="AG382" s="410">
        <f t="shared" si="208"/>
        <v>0</v>
      </c>
      <c r="AH382" s="410">
        <f t="shared" si="208"/>
        <v>0</v>
      </c>
      <c r="AI382" s="410">
        <f t="shared" si="208"/>
        <v>0</v>
      </c>
      <c r="AJ382" s="410">
        <f t="shared" si="208"/>
        <v>0</v>
      </c>
      <c r="AK382" s="410">
        <f t="shared" si="208"/>
        <v>0</v>
      </c>
      <c r="AL382" s="410">
        <f>AL381</f>
        <v>0</v>
      </c>
      <c r="AM382" s="297"/>
    </row>
    <row r="383" spans="2:39" ht="15.5" outlineLevel="1">
      <c r="B383" s="315"/>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1"/>
      <c r="Z383" s="301"/>
      <c r="AA383" s="301"/>
      <c r="AB383" s="301"/>
      <c r="AC383" s="301"/>
      <c r="AD383" s="301"/>
      <c r="AE383" s="301"/>
      <c r="AF383" s="301"/>
      <c r="AG383" s="301"/>
      <c r="AH383" s="301"/>
      <c r="AI383" s="301"/>
      <c r="AJ383" s="301"/>
      <c r="AK383" s="301"/>
      <c r="AL383" s="301"/>
      <c r="AM383" s="306"/>
    </row>
    <row r="384" spans="2:39" ht="15.5">
      <c r="B384" s="326" t="s">
        <v>250</v>
      </c>
      <c r="C384" s="328"/>
      <c r="D384" s="328">
        <f>SUM(D279:D382)</f>
        <v>2136213.4824902229</v>
      </c>
      <c r="E384" s="328"/>
      <c r="F384" s="328"/>
      <c r="G384" s="328"/>
      <c r="H384" s="328"/>
      <c r="I384" s="328"/>
      <c r="J384" s="328"/>
      <c r="K384" s="328"/>
      <c r="L384" s="328"/>
      <c r="M384" s="328"/>
      <c r="N384" s="328"/>
      <c r="O384" s="328">
        <f>SUM(O279:O382)</f>
        <v>450.05131440100655</v>
      </c>
      <c r="P384" s="328"/>
      <c r="Q384" s="328"/>
      <c r="R384" s="328"/>
      <c r="S384" s="328"/>
      <c r="T384" s="328"/>
      <c r="U384" s="328"/>
      <c r="V384" s="328"/>
      <c r="W384" s="328"/>
      <c r="X384" s="328"/>
      <c r="Y384" s="328">
        <f>IF(Y278="kWh",SUMPRODUCT(D279:D382,Y279:Y382))</f>
        <v>395693.65923199564</v>
      </c>
      <c r="Z384" s="328">
        <f>IF(Z278="kWh",SUMPRODUCT(D279:D382,Z279:Z382))</f>
        <v>847814.37938749779</v>
      </c>
      <c r="AA384" s="328">
        <f>IF(AA278="kW",SUMPRODUCT(N279:N382,O279:O382,AA279:AA382),SUMPRODUCT(D279:D382,AA279:AA382))</f>
        <v>1660.9254475978933</v>
      </c>
      <c r="AB384" s="328">
        <f>IF(AB278="kW",SUMPRODUCT(N279:N382,O279:O382,AB279:AB382),SUMPRODUCT(D279:D382,AB279:AB382))</f>
        <v>296.90215269362642</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2:39" ht="15.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2:39" ht="15.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2:39" ht="15.5">
      <c r="B387" s="323" t="s">
        <v>166</v>
      </c>
      <c r="C387" s="337"/>
      <c r="D387" s="337"/>
      <c r="E387" s="375"/>
      <c r="F387" s="375"/>
      <c r="G387" s="375"/>
      <c r="H387" s="375"/>
      <c r="I387" s="375"/>
      <c r="J387" s="375"/>
      <c r="K387" s="375"/>
      <c r="L387" s="375"/>
      <c r="M387" s="375"/>
      <c r="N387" s="375"/>
      <c r="O387" s="291"/>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2:41" ht="15.5">
      <c r="B388" s="323" t="s">
        <v>156</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 t="shared" si="209" ref="Y388:AL388">Y136*Y387</f>
        <v>0</v>
      </c>
      <c r="Z388" s="377">
        <f t="shared" si="209"/>
        <v>0</v>
      </c>
      <c r="AA388" s="377">
        <f t="shared" si="209"/>
        <v>0</v>
      </c>
      <c r="AB388" s="377">
        <f t="shared" si="209"/>
        <v>0</v>
      </c>
      <c r="AC388" s="377">
        <f t="shared" si="209"/>
        <v>0</v>
      </c>
      <c r="AD388" s="377">
        <f t="shared" si="209"/>
        <v>0</v>
      </c>
      <c r="AE388" s="377">
        <f t="shared" si="209"/>
        <v>0</v>
      </c>
      <c r="AF388" s="377">
        <f t="shared" si="209"/>
        <v>0</v>
      </c>
      <c r="AG388" s="377">
        <f t="shared" si="209"/>
        <v>0</v>
      </c>
      <c r="AH388" s="377">
        <f t="shared" si="209"/>
        <v>0</v>
      </c>
      <c r="AI388" s="377">
        <f t="shared" si="209"/>
        <v>0</v>
      </c>
      <c r="AJ388" s="377">
        <f t="shared" si="209"/>
        <v>0</v>
      </c>
      <c r="AK388" s="377">
        <f t="shared" si="209"/>
        <v>0</v>
      </c>
      <c r="AL388" s="377">
        <f t="shared" si="209"/>
        <v>0</v>
      </c>
      <c r="AM388" s="622">
        <f>SUM(Y388:AL388)</f>
        <v>0</v>
      </c>
      <c r="AO388" s="283"/>
    </row>
    <row r="389" spans="2:39" ht="15.5">
      <c r="B389" s="323" t="s">
        <v>157</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si="210" ref="Y389:AL389">Y265*Y387</f>
        <v>0</v>
      </c>
      <c r="Z389" s="377">
        <f t="shared" si="210"/>
        <v>0</v>
      </c>
      <c r="AA389" s="377">
        <f t="shared" si="210"/>
        <v>0</v>
      </c>
      <c r="AB389" s="377">
        <f t="shared" si="210"/>
        <v>0</v>
      </c>
      <c r="AC389" s="377">
        <f t="shared" si="210"/>
        <v>0</v>
      </c>
      <c r="AD389" s="377">
        <f t="shared" si="210"/>
        <v>0</v>
      </c>
      <c r="AE389" s="377">
        <f t="shared" si="210"/>
        <v>0</v>
      </c>
      <c r="AF389" s="377">
        <f t="shared" si="210"/>
        <v>0</v>
      </c>
      <c r="AG389" s="377">
        <f t="shared" si="210"/>
        <v>0</v>
      </c>
      <c r="AH389" s="377">
        <f t="shared" si="210"/>
        <v>0</v>
      </c>
      <c r="AI389" s="377">
        <f t="shared" si="210"/>
        <v>0</v>
      </c>
      <c r="AJ389" s="377">
        <f t="shared" si="210"/>
        <v>0</v>
      </c>
      <c r="AK389" s="377">
        <f t="shared" si="210"/>
        <v>0</v>
      </c>
      <c r="AL389" s="377">
        <f t="shared" si="210"/>
        <v>0</v>
      </c>
      <c r="AM389" s="622">
        <f>SUM(Y389:AL389)</f>
        <v>0</v>
      </c>
    </row>
    <row r="390" spans="2:39" ht="15.5">
      <c r="B390" s="323" t="s">
        <v>158</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Y384*Y387</f>
        <v>0</v>
      </c>
      <c r="Z390" s="377">
        <f t="shared" si="211" ref="Z390:AE390">Z384*Z387</f>
        <v>0</v>
      </c>
      <c r="AA390" s="377">
        <f t="shared" si="211"/>
        <v>0</v>
      </c>
      <c r="AB390" s="377">
        <f t="shared" si="211"/>
        <v>0</v>
      </c>
      <c r="AC390" s="377">
        <f t="shared" si="211"/>
        <v>0</v>
      </c>
      <c r="AD390" s="377">
        <f t="shared" si="211"/>
        <v>0</v>
      </c>
      <c r="AE390" s="377">
        <f t="shared" si="211"/>
        <v>0</v>
      </c>
      <c r="AF390" s="377">
        <f t="shared" si="212" ref="AF390:AL390">AF384*AF387</f>
        <v>0</v>
      </c>
      <c r="AG390" s="377">
        <f t="shared" si="212"/>
        <v>0</v>
      </c>
      <c r="AH390" s="377">
        <f t="shared" si="212"/>
        <v>0</v>
      </c>
      <c r="AI390" s="377">
        <f t="shared" si="212"/>
        <v>0</v>
      </c>
      <c r="AJ390" s="377">
        <f t="shared" si="212"/>
        <v>0</v>
      </c>
      <c r="AK390" s="377">
        <f t="shared" si="212"/>
        <v>0</v>
      </c>
      <c r="AL390" s="377">
        <f t="shared" si="212"/>
        <v>0</v>
      </c>
      <c r="AM390" s="622">
        <f>SUM(Y390:AL390)</f>
        <v>0</v>
      </c>
    </row>
    <row r="391" spans="1:39" s="379" customFormat="1" ht="15.5">
      <c r="A391" s="505"/>
      <c r="B391" s="348" t="s">
        <v>257</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SUM(Y388:Y390)</f>
        <v>0</v>
      </c>
      <c r="Z391" s="345">
        <f>SUM(Z388:Z390)</f>
        <v>0</v>
      </c>
      <c r="AA391" s="345">
        <f t="shared" si="213" ref="AA391:AE391">SUM(AA388:AA390)</f>
        <v>0</v>
      </c>
      <c r="AB391" s="345">
        <f t="shared" si="213"/>
        <v>0</v>
      </c>
      <c r="AC391" s="345">
        <f t="shared" si="213"/>
        <v>0</v>
      </c>
      <c r="AD391" s="345">
        <f t="shared" si="213"/>
        <v>0</v>
      </c>
      <c r="AE391" s="345">
        <f t="shared" si="213"/>
        <v>0</v>
      </c>
      <c r="AF391" s="345">
        <f t="shared" si="214" ref="AF391:AL391">SUM(AF388:AF390)</f>
        <v>0</v>
      </c>
      <c r="AG391" s="345">
        <f t="shared" si="214"/>
        <v>0</v>
      </c>
      <c r="AH391" s="345">
        <f t="shared" si="214"/>
        <v>0</v>
      </c>
      <c r="AI391" s="345">
        <f t="shared" si="214"/>
        <v>0</v>
      </c>
      <c r="AJ391" s="345">
        <f t="shared" si="214"/>
        <v>0</v>
      </c>
      <c r="AK391" s="345">
        <f t="shared" si="214"/>
        <v>0</v>
      </c>
      <c r="AL391" s="345">
        <f t="shared" si="214"/>
        <v>0</v>
      </c>
      <c r="AM391" s="406">
        <f>SUM(AM388:AM390)</f>
        <v>0</v>
      </c>
    </row>
    <row r="392" spans="1:39" s="379" customFormat="1" ht="15.5">
      <c r="A392" s="505"/>
      <c r="B392" s="348" t="s">
        <v>252</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 t="shared" si="215" ref="Y392:AE392">Y385*Y387</f>
        <v>0</v>
      </c>
      <c r="Z392" s="346">
        <f t="shared" si="215"/>
        <v>0</v>
      </c>
      <c r="AA392" s="346">
        <f t="shared" si="215"/>
        <v>0</v>
      </c>
      <c r="AB392" s="346">
        <f t="shared" si="215"/>
        <v>0</v>
      </c>
      <c r="AC392" s="346">
        <f t="shared" si="215"/>
        <v>0</v>
      </c>
      <c r="AD392" s="346">
        <f t="shared" si="215"/>
        <v>0</v>
      </c>
      <c r="AE392" s="346">
        <f t="shared" si="215"/>
        <v>0</v>
      </c>
      <c r="AF392" s="346">
        <f t="shared" si="216" ref="AF392:AL392">AF385*AF387</f>
        <v>0</v>
      </c>
      <c r="AG392" s="346">
        <f t="shared" si="216"/>
        <v>0</v>
      </c>
      <c r="AH392" s="346">
        <f t="shared" si="216"/>
        <v>0</v>
      </c>
      <c r="AI392" s="346">
        <f t="shared" si="216"/>
        <v>0</v>
      </c>
      <c r="AJ392" s="346">
        <f t="shared" si="216"/>
        <v>0</v>
      </c>
      <c r="AK392" s="346">
        <f t="shared" si="216"/>
        <v>0</v>
      </c>
      <c r="AL392" s="346">
        <f t="shared" si="216"/>
        <v>0</v>
      </c>
      <c r="AM392" s="406">
        <f>SUM(Y392:AL392)</f>
        <v>0</v>
      </c>
    </row>
    <row r="393" spans="1:39" ht="15.75" customHeight="1">
      <c r="A393" s="505"/>
      <c r="B393" s="348" t="s">
        <v>264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00"/>
      <c r="Z393" s="350"/>
      <c r="AA393" s="350"/>
      <c r="AB393" s="350"/>
      <c r="AC393" s="350"/>
      <c r="AD393" s="350"/>
      <c r="AE393" s="350"/>
      <c r="AF393" s="350"/>
      <c r="AG393" s="350"/>
      <c r="AH393" s="350"/>
      <c r="AI393" s="350"/>
      <c r="AJ393" s="350"/>
      <c r="AK393" s="350"/>
      <c r="AL393" s="350"/>
      <c r="AM393" s="406">
        <f>AM391-AM392</f>
        <v>0</v>
      </c>
    </row>
    <row r="394" spans="2:39" ht="15.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2:39" ht="15.5">
      <c r="B395" s="323" t="s">
        <v>72</v>
      </c>
      <c r="C395" s="355"/>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SUMPRODUCT(E279:E382,Y279:Y382)</f>
        <v>392518.4214761706</v>
      </c>
      <c r="Z395" s="291">
        <f>SUMPRODUCT(E279:E382,Z279:Z382)</f>
        <v>847814.37938749779</v>
      </c>
      <c r="AA395" s="291">
        <f>IF(AA278="kW",SUMPRODUCT(N279:N382,P279:P382,AA279:AA382),SUMPRODUCT(E279:E382,AA279:AA382))</f>
        <v>1660.9254475978933</v>
      </c>
      <c r="AB395" s="291">
        <f>IF(AB278="kW",SUMPRODUCT(N279:N382,P279:P382,AB279:AB382),SUMPRODUCT(E279:E382,AB279:AB382))</f>
        <v>296.90215269362642</v>
      </c>
      <c r="AC395" s="291">
        <f>IF(AC278="kW",SUMPRODUCT(N279:N382,P279:P382,AC279:AC382),SUMPRODUCT(E279:E382,AC279:AC382))</f>
        <v>0</v>
      </c>
      <c r="AD395" s="291">
        <f>IF(AD278="kW",SUMPRODUCT(N279:N382,P279:P382,AD279:AD382),SUMPRODUCT(E279:E382,AD279:AD382))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6"/>
    </row>
    <row r="396" spans="2:39" ht="15.5">
      <c r="B396" s="323" t="s">
        <v>195</v>
      </c>
      <c r="C396" s="355"/>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SUMPRODUCT(F279:F382,Y279:Y382)</f>
        <v>385922.17942767759</v>
      </c>
      <c r="Z396" s="291">
        <f>SUMPRODUCT(F279:F382,Z279:Z382)</f>
        <v>847814.37938749779</v>
      </c>
      <c r="AA396" s="291">
        <f>IF(AA278="kW",SUMPRODUCT(N279:N382,Q279:Q382,AA279:AA382),SUMPRODUCT(F279:F382,AA279:AA382))</f>
        <v>1660.9254475978933</v>
      </c>
      <c r="AB396" s="291">
        <f>IF(AB278="kW",SUMPRODUCT(N279:N382,Q279:Q382,AB279:AB382),SUMPRODUCT(F279:F382,AB279:AB382))</f>
        <v>296.90215269362642</v>
      </c>
      <c r="AC396" s="291">
        <f>IF(AC278="kW",SUMPRODUCT(N279:N382,Q279:Q382,AC279:AC382),SUMPRODUCT(F279:F382,AC279:AC382))</f>
        <v>0</v>
      </c>
      <c r="AD396" s="291">
        <f>IF(AD278="kW",SUMPRODUCT(N279:N382,Q279:Q382,AD279:AD382),SUMPRODUCT(F279:F382,AD279:AD382))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6"/>
    </row>
    <row r="397" spans="2:39" ht="15.5">
      <c r="B397" s="323" t="s">
        <v>196</v>
      </c>
      <c r="C397" s="355"/>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c r="Z397" s="291"/>
      <c r="AA397" s="291"/>
      <c r="AB397" s="291"/>
      <c r="AC397" s="291"/>
      <c r="AD397" s="291"/>
      <c r="AE397" s="291"/>
      <c r="AF397" s="291"/>
      <c r="AG397" s="291"/>
      <c r="AH397" s="291"/>
      <c r="AI397" s="291"/>
      <c r="AJ397" s="291"/>
      <c r="AK397" s="291"/>
      <c r="AL397" s="291"/>
      <c r="AM397" s="336"/>
    </row>
    <row r="398" spans="2:39" ht="15.5">
      <c r="B398" s="323" t="s">
        <v>197</v>
      </c>
      <c r="C398" s="355"/>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291"/>
      <c r="Z398" s="291"/>
      <c r="AA398" s="291"/>
      <c r="AB398" s="291"/>
      <c r="AC398" s="291"/>
      <c r="AD398" s="291"/>
      <c r="AE398" s="291"/>
      <c r="AF398" s="291"/>
      <c r="AG398" s="291"/>
      <c r="AH398" s="291"/>
      <c r="AI398" s="291"/>
      <c r="AJ398" s="291"/>
      <c r="AK398" s="291"/>
      <c r="AL398" s="291"/>
      <c r="AM398" s="336"/>
    </row>
    <row r="399" spans="2:39" ht="15.5">
      <c r="B399" s="323" t="s">
        <v>198</v>
      </c>
      <c r="C399" s="355"/>
      <c r="D399" s="279"/>
      <c r="E399" s="279"/>
      <c r="F399" s="279"/>
      <c r="G399" s="279"/>
      <c r="H399" s="279"/>
      <c r="I399" s="279"/>
      <c r="J399" s="279"/>
      <c r="K399" s="279"/>
      <c r="L399" s="279"/>
      <c r="M399" s="279"/>
      <c r="N399" s="279"/>
      <c r="O399" s="356"/>
      <c r="P399" s="279"/>
      <c r="Q399" s="279"/>
      <c r="R399" s="279"/>
      <c r="S399" s="304"/>
      <c r="T399" s="309"/>
      <c r="U399" s="309"/>
      <c r="V399" s="279"/>
      <c r="W399" s="279"/>
      <c r="X399" s="309"/>
      <c r="Y399" s="291"/>
      <c r="Z399" s="291"/>
      <c r="AA399" s="291"/>
      <c r="AB399" s="291"/>
      <c r="AC399" s="291"/>
      <c r="AD399" s="291"/>
      <c r="AE399" s="291"/>
      <c r="AF399" s="291"/>
      <c r="AG399" s="291"/>
      <c r="AH399" s="291"/>
      <c r="AI399" s="291"/>
      <c r="AJ399" s="291"/>
      <c r="AK399" s="291"/>
      <c r="AL399" s="291"/>
      <c r="AM399" s="336"/>
    </row>
    <row r="400" spans="2:39" ht="15.5">
      <c r="B400" s="323" t="s">
        <v>199</v>
      </c>
      <c r="C400" s="355"/>
      <c r="D400" s="309"/>
      <c r="E400" s="309"/>
      <c r="F400" s="309"/>
      <c r="G400" s="309"/>
      <c r="H400" s="309"/>
      <c r="I400" s="309"/>
      <c r="J400" s="309"/>
      <c r="K400" s="309"/>
      <c r="L400" s="309"/>
      <c r="M400" s="309"/>
      <c r="N400" s="309"/>
      <c r="O400" s="356"/>
      <c r="P400" s="309"/>
      <c r="Q400" s="309"/>
      <c r="R400" s="309"/>
      <c r="S400" s="304"/>
      <c r="T400" s="309"/>
      <c r="U400" s="309"/>
      <c r="V400" s="309"/>
      <c r="W400" s="309"/>
      <c r="X400" s="309"/>
      <c r="Y400" s="291"/>
      <c r="Z400" s="291"/>
      <c r="AA400" s="291"/>
      <c r="AB400" s="291"/>
      <c r="AC400" s="291"/>
      <c r="AD400" s="291"/>
      <c r="AE400" s="291"/>
      <c r="AF400" s="291"/>
      <c r="AG400" s="291"/>
      <c r="AH400" s="291"/>
      <c r="AI400" s="291"/>
      <c r="AJ400" s="291"/>
      <c r="AK400" s="291"/>
      <c r="AL400" s="291"/>
      <c r="AM400" s="336"/>
    </row>
    <row r="401" spans="2:39"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c r="Z401" s="325"/>
      <c r="AA401" s="325"/>
      <c r="AB401" s="325"/>
      <c r="AC401" s="325"/>
      <c r="AD401" s="325"/>
      <c r="AE401" s="325"/>
      <c r="AF401" s="325"/>
      <c r="AG401" s="325"/>
      <c r="AH401" s="325"/>
      <c r="AI401" s="325"/>
      <c r="AJ401" s="325"/>
      <c r="AK401" s="325"/>
      <c r="AL401" s="325"/>
      <c r="AM401" s="385"/>
    </row>
    <row r="402" spans="2:40" ht="21.75" customHeight="1">
      <c r="B402" s="367" t="s">
        <v>586</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2:39" ht="15.5">
      <c r="B404" s="280" t="s">
        <v>258</v>
      </c>
      <c r="C404" s="281"/>
      <c r="D404" s="583" t="s">
        <v>520</v>
      </c>
      <c r="F404" s="583"/>
      <c r="O404" s="281"/>
      <c r="Y404" s="270"/>
      <c r="Z404" s="267"/>
      <c r="AA404" s="267"/>
      <c r="AB404" s="267"/>
      <c r="AC404" s="267"/>
      <c r="AD404" s="267"/>
      <c r="AE404" s="267"/>
      <c r="AF404" s="267"/>
      <c r="AG404" s="267"/>
      <c r="AH404" s="267"/>
      <c r="AI404" s="267"/>
      <c r="AJ404" s="267"/>
      <c r="AK404" s="267"/>
      <c r="AL404" s="267"/>
      <c r="AM404" s="282"/>
    </row>
    <row r="405" spans="2:39" ht="36" customHeight="1">
      <c r="B405" s="902" t="s">
        <v>211</v>
      </c>
      <c r="C405" s="904" t="s">
        <v>33</v>
      </c>
      <c r="D405" s="284" t="s">
        <v>421</v>
      </c>
      <c r="E405" s="906" t="s">
        <v>209</v>
      </c>
      <c r="F405" s="907"/>
      <c r="G405" s="907"/>
      <c r="H405" s="907"/>
      <c r="I405" s="907"/>
      <c r="J405" s="907"/>
      <c r="K405" s="907"/>
      <c r="L405" s="907"/>
      <c r="M405" s="908"/>
      <c r="N405" s="909" t="s">
        <v>213</v>
      </c>
      <c r="O405" s="284" t="s">
        <v>422</v>
      </c>
      <c r="P405" s="906" t="s">
        <v>212</v>
      </c>
      <c r="Q405" s="907"/>
      <c r="R405" s="907"/>
      <c r="S405" s="907"/>
      <c r="T405" s="907"/>
      <c r="U405" s="907"/>
      <c r="V405" s="907"/>
      <c r="W405" s="907"/>
      <c r="X405" s="908"/>
      <c r="Y405" s="899" t="s">
        <v>243</v>
      </c>
      <c r="Z405" s="900"/>
      <c r="AA405" s="900"/>
      <c r="AB405" s="900"/>
      <c r="AC405" s="900"/>
      <c r="AD405" s="900"/>
      <c r="AE405" s="900"/>
      <c r="AF405" s="900"/>
      <c r="AG405" s="900"/>
      <c r="AH405" s="900"/>
      <c r="AI405" s="900"/>
      <c r="AJ405" s="900"/>
      <c r="AK405" s="900"/>
      <c r="AL405" s="900"/>
      <c r="AM405" s="901"/>
    </row>
    <row r="406" spans="2:39" ht="45.75" customHeight="1">
      <c r="B406" s="903"/>
      <c r="C406" s="905"/>
      <c r="D406" s="285">
        <v>2014</v>
      </c>
      <c r="E406" s="285">
        <v>2015</v>
      </c>
      <c r="F406" s="285">
        <v>2016</v>
      </c>
      <c r="G406" s="285">
        <v>2017</v>
      </c>
      <c r="H406" s="285">
        <v>2018</v>
      </c>
      <c r="I406" s="285">
        <v>2019</v>
      </c>
      <c r="J406" s="285">
        <v>2020</v>
      </c>
      <c r="K406" s="285">
        <v>2021</v>
      </c>
      <c r="L406" s="285">
        <v>2022</v>
      </c>
      <c r="M406" s="285">
        <v>2023</v>
      </c>
      <c r="N406" s="91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50 - 999 kW</v>
      </c>
      <c r="AB406" s="285" t="str">
        <f>'1.  LRAMVA Summary'!G52</f>
        <v>GS 1,000 - 4,999 kW</v>
      </c>
      <c r="AC406" s="285" t="str">
        <f>'1.  LRAMVA Summary'!H52</f>
        <v>USL</v>
      </c>
      <c r="AD406" s="285" t="str">
        <f>'1.  LRAMVA Summary'!I52</f>
        <v>Sentinel Lighting</v>
      </c>
      <c r="AE406" s="285" t="str">
        <f>'1.  LRAMVA Summary'!J52</f>
        <v>Street Lighting</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39" ht="15.75" customHeight="1">
      <c r="A407" s="504"/>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39" ht="15.5" outlineLevel="1">
      <c r="A408" s="503">
        <v>1</v>
      </c>
      <c r="B408" s="294" t="s">
        <v>1</v>
      </c>
      <c r="C408" s="291" t="s">
        <v>25</v>
      </c>
      <c r="D408" s="295">
        <f>'7.  Persistence Report'!AT91+'7.  Persistence Report'!AT92+'7.  Persistence Report'!AT93+'7.  Persistence Report'!AT94</f>
        <v>34353.861309672029</v>
      </c>
      <c r="E408" s="295">
        <f>'7.  Persistence Report'!AU91+'7.  Persistence Report'!AU92+'7.  Persistence Report'!AU93+'7.  Persistence Report'!AU94</f>
        <v>34353.861309672029</v>
      </c>
      <c r="F408" s="295">
        <f>'7.  Persistence Report'!AV91+'7.  Persistence Report'!AV92+'7.  Persistence Report'!AV93+'7.  Persistence Report'!AV94</f>
        <v>34353.861309672029</v>
      </c>
      <c r="G408" s="295">
        <f>'7.  Persistence Report'!AW91+'7.  Persistence Report'!AW92+'7.  Persistence Report'!AW93+'7.  Persistence Report'!AW94</f>
        <v>34249.453263072028</v>
      </c>
      <c r="H408" s="295">
        <f>'7.  Persistence Report'!AX91+'7.  Persistence Report'!AX92+'7.  Persistence Report'!AX93+'7.  Persistence Report'!AX94</f>
        <v>19616.201457875493</v>
      </c>
      <c r="I408" s="295">
        <f>'7.  Persistence Report'!AY91+'7.  Persistence Report'!AY92+'7.  Persistence Report'!AY93+'7.  Persistence Report'!AY94</f>
        <v>0</v>
      </c>
      <c r="J408" s="295">
        <f>'7.  Persistence Report'!AZ91+'7.  Persistence Report'!AZ92+'7.  Persistence Report'!AZ93+'7.  Persistence Report'!AZ94</f>
        <v>0</v>
      </c>
      <c r="K408" s="295">
        <f>'7.  Persistence Report'!BA91+'7.  Persistence Report'!BA92+'7.  Persistence Report'!BA93+'7.  Persistence Report'!BA94</f>
        <v>0</v>
      </c>
      <c r="L408" s="295">
        <f>'7.  Persistence Report'!BB91+'7.  Persistence Report'!BB92+'7.  Persistence Report'!BB93+'7.  Persistence Report'!BB94</f>
        <v>0</v>
      </c>
      <c r="M408" s="295">
        <f>'7.  Persistence Report'!BC91+'7.  Persistence Report'!BC92+'7.  Persistence Report'!BC93+'7.  Persistence Report'!BC94</f>
        <v>0</v>
      </c>
      <c r="N408" s="750"/>
      <c r="O408" s="295">
        <f>'7.  Persistence Report'!O91+'7.  Persistence Report'!O92+'7.  Persistence Report'!O93+'7.  Persistence Report'!O94</f>
        <v>5.0206413855955638</v>
      </c>
      <c r="P408" s="295">
        <f>'7.  Persistence Report'!P91+'7.  Persistence Report'!P92+'7.  Persistence Report'!P93+'7.  Persistence Report'!P94</f>
        <v>5.0206413855955638</v>
      </c>
      <c r="Q408" s="295">
        <f>'7.  Persistence Report'!Q91+'7.  Persistence Report'!Q92+'7.  Persistence Report'!Q93+'7.  Persistence Report'!Q94</f>
        <v>5.0206413855955638</v>
      </c>
      <c r="R408" s="295">
        <f>'7.  Persistence Report'!R91+'7.  Persistence Report'!R92+'7.  Persistence Report'!R93+'7.  Persistence Report'!R94</f>
        <v>4.9038870885955639</v>
      </c>
      <c r="S408" s="295">
        <f>'7.  Persistence Report'!S91+'7.  Persistence Report'!S92+'7.  Persistence Report'!S93+'7.  Persistence Report'!S94</f>
        <v>2.8828784238997391</v>
      </c>
      <c r="T408" s="295">
        <f>'7.  Persistence Report'!T91+'7.  Persistence Report'!T92+'7.  Persistence Report'!T93+'7.  Persistence Report'!T94</f>
        <v>0</v>
      </c>
      <c r="U408" s="295">
        <f>'7.  Persistence Report'!U91+'7.  Persistence Report'!U92+'7.  Persistence Report'!U93+'7.  Persistence Report'!U94</f>
        <v>0</v>
      </c>
      <c r="V408" s="295">
        <f>'7.  Persistence Report'!V91+'7.  Persistence Report'!V92+'7.  Persistence Report'!V93+'7.  Persistence Report'!V94</f>
        <v>0</v>
      </c>
      <c r="W408" s="295">
        <f>'7.  Persistence Report'!W91+'7.  Persistence Report'!W92+'7.  Persistence Report'!W93+'7.  Persistence Report'!W94</f>
        <v>0</v>
      </c>
      <c r="X408" s="295">
        <f>'7.  Persistence Report'!X91+'7.  Persistence Report'!X92+'7.  Persistence Report'!X93+'7.  Persistence Report'!X94</f>
        <v>0</v>
      </c>
      <c r="Y408" s="759">
        <v>1</v>
      </c>
      <c r="Z408" s="759"/>
      <c r="AA408" s="759"/>
      <c r="AB408" s="759"/>
      <c r="AC408" s="759"/>
      <c r="AD408" s="759"/>
      <c r="AE408" s="759"/>
      <c r="AF408" s="409"/>
      <c r="AG408" s="409"/>
      <c r="AH408" s="409"/>
      <c r="AI408" s="409"/>
      <c r="AJ408" s="409"/>
      <c r="AK408" s="409"/>
      <c r="AL408" s="409"/>
      <c r="AM408" s="296">
        <f>SUM(Y408:AL408)</f>
        <v>1</v>
      </c>
    </row>
    <row r="409" spans="2:39" ht="15.5" outlineLevel="1">
      <c r="B409" s="294" t="s">
        <v>259</v>
      </c>
      <c r="C409" s="291" t="s">
        <v>163</v>
      </c>
      <c r="D409" s="295"/>
      <c r="E409" s="295"/>
      <c r="F409" s="295"/>
      <c r="G409" s="295"/>
      <c r="H409" s="295"/>
      <c r="I409" s="295"/>
      <c r="J409" s="295"/>
      <c r="K409" s="295"/>
      <c r="L409" s="295"/>
      <c r="M409" s="295"/>
      <c r="N409" s="751"/>
      <c r="O409" s="295"/>
      <c r="P409" s="295"/>
      <c r="Q409" s="295"/>
      <c r="R409" s="295"/>
      <c r="S409" s="295"/>
      <c r="T409" s="295"/>
      <c r="U409" s="295"/>
      <c r="V409" s="295"/>
      <c r="W409" s="295"/>
      <c r="X409" s="295"/>
      <c r="Y409" s="760">
        <f>Y408</f>
        <v>1</v>
      </c>
      <c r="Z409" s="760">
        <f>Z408</f>
        <v>0</v>
      </c>
      <c r="AA409" s="760">
        <f t="shared" si="217" ref="AA409:AE409">AA408</f>
        <v>0</v>
      </c>
      <c r="AB409" s="760">
        <f t="shared" si="217"/>
        <v>0</v>
      </c>
      <c r="AC409" s="760">
        <f t="shared" si="217"/>
        <v>0</v>
      </c>
      <c r="AD409" s="760">
        <f t="shared" si="217"/>
        <v>0</v>
      </c>
      <c r="AE409" s="760">
        <f t="shared" si="217"/>
        <v>0</v>
      </c>
      <c r="AF409" s="410">
        <f t="shared" si="218" ref="AF409:AL409">AF408</f>
        <v>0</v>
      </c>
      <c r="AG409" s="410">
        <f t="shared" si="218"/>
        <v>0</v>
      </c>
      <c r="AH409" s="410">
        <f t="shared" si="218"/>
        <v>0</v>
      </c>
      <c r="AI409" s="410">
        <f t="shared" si="218"/>
        <v>0</v>
      </c>
      <c r="AJ409" s="410">
        <f t="shared" si="218"/>
        <v>0</v>
      </c>
      <c r="AK409" s="410">
        <f t="shared" si="218"/>
        <v>0</v>
      </c>
      <c r="AL409" s="410">
        <f t="shared" si="218"/>
        <v>0</v>
      </c>
      <c r="AM409" s="297"/>
    </row>
    <row r="410" spans="1:39" ht="15.5" outlineLevel="1">
      <c r="A410" s="505"/>
      <c r="B410" s="298"/>
      <c r="C410" s="299"/>
      <c r="D410" s="752"/>
      <c r="E410" s="752"/>
      <c r="F410" s="752"/>
      <c r="G410" s="752"/>
      <c r="H410" s="752"/>
      <c r="I410" s="752"/>
      <c r="J410" s="752"/>
      <c r="K410" s="752"/>
      <c r="L410" s="752"/>
      <c r="M410" s="752"/>
      <c r="N410" s="303"/>
      <c r="O410" s="752"/>
      <c r="P410" s="752"/>
      <c r="Q410" s="752"/>
      <c r="R410" s="752"/>
      <c r="S410" s="752"/>
      <c r="T410" s="752"/>
      <c r="U410" s="752"/>
      <c r="V410" s="752"/>
      <c r="W410" s="752"/>
      <c r="X410" s="752"/>
      <c r="Y410" s="761"/>
      <c r="Z410" s="762"/>
      <c r="AA410" s="762"/>
      <c r="AB410" s="762"/>
      <c r="AC410" s="762"/>
      <c r="AD410" s="762"/>
      <c r="AE410" s="762"/>
      <c r="AF410" s="412"/>
      <c r="AG410" s="412"/>
      <c r="AH410" s="412"/>
      <c r="AI410" s="412"/>
      <c r="AJ410" s="412"/>
      <c r="AK410" s="412"/>
      <c r="AL410" s="412"/>
      <c r="AM410" s="302"/>
    </row>
    <row r="411" spans="1:39" ht="15.5" outlineLevel="1">
      <c r="A411" s="503">
        <v>2</v>
      </c>
      <c r="B411" s="294" t="s">
        <v>2</v>
      </c>
      <c r="C411" s="291" t="s">
        <v>25</v>
      </c>
      <c r="D411" s="295">
        <f>'7.  Persistence Report'!AT90</f>
        <v>13299.83561</v>
      </c>
      <c r="E411" s="295">
        <f>'7.  Persistence Report'!AU90</f>
        <v>13299.83561</v>
      </c>
      <c r="F411" s="295">
        <f>'7.  Persistence Report'!AV90</f>
        <v>13299.83561</v>
      </c>
      <c r="G411" s="295">
        <f>'7.  Persistence Report'!AW90</f>
        <v>13299.83561</v>
      </c>
      <c r="H411" s="295">
        <f>'7.  Persistence Report'!AX90</f>
        <v>0</v>
      </c>
      <c r="I411" s="295">
        <f>'7.  Persistence Report'!AY90</f>
        <v>0</v>
      </c>
      <c r="J411" s="295">
        <f>'7.  Persistence Report'!AZ90</f>
        <v>0</v>
      </c>
      <c r="K411" s="295">
        <f>'7.  Persistence Report'!BA90</f>
        <v>0</v>
      </c>
      <c r="L411" s="295">
        <f>'7.  Persistence Report'!BB90</f>
        <v>0</v>
      </c>
      <c r="M411" s="295">
        <f>'7.  Persistence Report'!BC90</f>
        <v>0</v>
      </c>
      <c r="N411" s="750"/>
      <c r="O411" s="295">
        <f>'7.  Persistence Report'!O90</f>
        <v>7.4589875650000002</v>
      </c>
      <c r="P411" s="295">
        <f>'7.  Persistence Report'!P90</f>
        <v>7.4589875650000002</v>
      </c>
      <c r="Q411" s="295">
        <f>'7.  Persistence Report'!Q90</f>
        <v>7.4589875650000002</v>
      </c>
      <c r="R411" s="295">
        <f>'7.  Persistence Report'!R90</f>
        <v>7.4589875650000002</v>
      </c>
      <c r="S411" s="295">
        <f>'7.  Persistence Report'!S90</f>
        <v>0</v>
      </c>
      <c r="T411" s="295">
        <f>'7.  Persistence Report'!T90</f>
        <v>0</v>
      </c>
      <c r="U411" s="295">
        <f>'7.  Persistence Report'!U90</f>
        <v>0</v>
      </c>
      <c r="V411" s="295">
        <f>'7.  Persistence Report'!V90</f>
        <v>0</v>
      </c>
      <c r="W411" s="295">
        <f>'7.  Persistence Report'!W90</f>
        <v>0</v>
      </c>
      <c r="X411" s="295">
        <f>'7.  Persistence Report'!X90</f>
        <v>0</v>
      </c>
      <c r="Y411" s="759">
        <v>1</v>
      </c>
      <c r="Z411" s="759"/>
      <c r="AA411" s="759"/>
      <c r="AB411" s="759"/>
      <c r="AC411" s="759"/>
      <c r="AD411" s="759"/>
      <c r="AE411" s="759"/>
      <c r="AF411" s="409"/>
      <c r="AG411" s="409"/>
      <c r="AH411" s="409"/>
      <c r="AI411" s="409"/>
      <c r="AJ411" s="409"/>
      <c r="AK411" s="409"/>
      <c r="AL411" s="409"/>
      <c r="AM411" s="296">
        <f>SUM(Y411:AL411)</f>
        <v>1</v>
      </c>
    </row>
    <row r="412" spans="2:39" ht="15.5" outlineLevel="1">
      <c r="B412" s="294" t="s">
        <v>259</v>
      </c>
      <c r="C412" s="291" t="s">
        <v>163</v>
      </c>
      <c r="D412" s="295"/>
      <c r="E412" s="295"/>
      <c r="F412" s="295"/>
      <c r="G412" s="295"/>
      <c r="H412" s="295"/>
      <c r="I412" s="295"/>
      <c r="J412" s="295"/>
      <c r="K412" s="295"/>
      <c r="L412" s="295"/>
      <c r="M412" s="295"/>
      <c r="N412" s="751"/>
      <c r="O412" s="295"/>
      <c r="P412" s="295"/>
      <c r="Q412" s="295"/>
      <c r="R412" s="295"/>
      <c r="S412" s="295"/>
      <c r="T412" s="295"/>
      <c r="U412" s="295"/>
      <c r="V412" s="295"/>
      <c r="W412" s="295"/>
      <c r="X412" s="295"/>
      <c r="Y412" s="760">
        <f>Y411</f>
        <v>1</v>
      </c>
      <c r="Z412" s="760">
        <f>Z411</f>
        <v>0</v>
      </c>
      <c r="AA412" s="760">
        <f t="shared" si="219" ref="AA412:AE412">AA411</f>
        <v>0</v>
      </c>
      <c r="AB412" s="760">
        <f t="shared" si="219"/>
        <v>0</v>
      </c>
      <c r="AC412" s="760">
        <f t="shared" si="219"/>
        <v>0</v>
      </c>
      <c r="AD412" s="760">
        <f t="shared" si="219"/>
        <v>0</v>
      </c>
      <c r="AE412" s="760">
        <f t="shared" si="219"/>
        <v>0</v>
      </c>
      <c r="AF412" s="410">
        <f t="shared" si="220" ref="AF412:AL412">AF411</f>
        <v>0</v>
      </c>
      <c r="AG412" s="410">
        <f t="shared" si="220"/>
        <v>0</v>
      </c>
      <c r="AH412" s="410">
        <f t="shared" si="220"/>
        <v>0</v>
      </c>
      <c r="AI412" s="410">
        <f t="shared" si="220"/>
        <v>0</v>
      </c>
      <c r="AJ412" s="410">
        <f t="shared" si="220"/>
        <v>0</v>
      </c>
      <c r="AK412" s="410">
        <f t="shared" si="220"/>
        <v>0</v>
      </c>
      <c r="AL412" s="410">
        <f t="shared" si="220"/>
        <v>0</v>
      </c>
      <c r="AM412" s="297"/>
    </row>
    <row r="413" spans="1:39" ht="15.5" outlineLevel="1">
      <c r="A413" s="505"/>
      <c r="B413" s="298"/>
      <c r="C413" s="299"/>
      <c r="D413" s="753"/>
      <c r="E413" s="753"/>
      <c r="F413" s="753"/>
      <c r="G413" s="753"/>
      <c r="H413" s="753"/>
      <c r="I413" s="753"/>
      <c r="J413" s="753"/>
      <c r="K413" s="753"/>
      <c r="L413" s="753"/>
      <c r="M413" s="753"/>
      <c r="N413" s="303"/>
      <c r="O413" s="753"/>
      <c r="P413" s="753"/>
      <c r="Q413" s="753"/>
      <c r="R413" s="753"/>
      <c r="S413" s="753"/>
      <c r="T413" s="753"/>
      <c r="U413" s="753"/>
      <c r="V413" s="753"/>
      <c r="W413" s="753"/>
      <c r="X413" s="753"/>
      <c r="Y413" s="761"/>
      <c r="Z413" s="762"/>
      <c r="AA413" s="762"/>
      <c r="AB413" s="762"/>
      <c r="AC413" s="762"/>
      <c r="AD413" s="762"/>
      <c r="AE413" s="762"/>
      <c r="AF413" s="412"/>
      <c r="AG413" s="412"/>
      <c r="AH413" s="412"/>
      <c r="AI413" s="412"/>
      <c r="AJ413" s="412"/>
      <c r="AK413" s="412"/>
      <c r="AL413" s="412"/>
      <c r="AM413" s="302"/>
    </row>
    <row r="414" spans="1:39" ht="15.5" outlineLevel="1">
      <c r="A414" s="503">
        <v>3</v>
      </c>
      <c r="B414" s="294" t="s">
        <v>3</v>
      </c>
      <c r="C414" s="291" t="s">
        <v>25</v>
      </c>
      <c r="D414" s="295">
        <f>'7.  Persistence Report'!AT98</f>
        <v>186908.60222999999</v>
      </c>
      <c r="E414" s="295">
        <f>'7.  Persistence Report'!AU98</f>
        <v>186908.60222999999</v>
      </c>
      <c r="F414" s="295">
        <f>'7.  Persistence Report'!AV98</f>
        <v>186908.60222999999</v>
      </c>
      <c r="G414" s="295">
        <f>'7.  Persistence Report'!AW98</f>
        <v>186908.60222999999</v>
      </c>
      <c r="H414" s="295">
        <f>'7.  Persistence Report'!AX98</f>
        <v>186908.60222999999</v>
      </c>
      <c r="I414" s="295">
        <f>'7.  Persistence Report'!AY98</f>
        <v>186908.60222999999</v>
      </c>
      <c r="J414" s="295">
        <f>'7.  Persistence Report'!AZ98</f>
        <v>186908.60222999999</v>
      </c>
      <c r="K414" s="295">
        <f>'7.  Persistence Report'!BA98</f>
        <v>186908.60222999999</v>
      </c>
      <c r="L414" s="295">
        <f>'7.  Persistence Report'!BB98</f>
        <v>186908.60222999999</v>
      </c>
      <c r="M414" s="295">
        <f>'7.  Persistence Report'!BC98</f>
        <v>186908.60222999999</v>
      </c>
      <c r="N414" s="750"/>
      <c r="O414" s="295">
        <f>'7.  Persistence Report'!O98</f>
        <v>101.400269217</v>
      </c>
      <c r="P414" s="295">
        <f>'7.  Persistence Report'!P98</f>
        <v>101.400269217</v>
      </c>
      <c r="Q414" s="295">
        <f>'7.  Persistence Report'!Q98</f>
        <v>101.400269217</v>
      </c>
      <c r="R414" s="295">
        <f>'7.  Persistence Report'!R98</f>
        <v>101.400269217</v>
      </c>
      <c r="S414" s="295">
        <f>'7.  Persistence Report'!S98</f>
        <v>101.400269217</v>
      </c>
      <c r="T414" s="295">
        <f>'7.  Persistence Report'!T98</f>
        <v>101.400269217</v>
      </c>
      <c r="U414" s="295">
        <f>'7.  Persistence Report'!U98</f>
        <v>101.400269217</v>
      </c>
      <c r="V414" s="295">
        <f>'7.  Persistence Report'!V98</f>
        <v>101.400269217</v>
      </c>
      <c r="W414" s="295">
        <f>'7.  Persistence Report'!W98</f>
        <v>101.400269217</v>
      </c>
      <c r="X414" s="295">
        <f>'7.  Persistence Report'!X98</f>
        <v>101.400269217</v>
      </c>
      <c r="Y414" s="759">
        <v>1</v>
      </c>
      <c r="Z414" s="759"/>
      <c r="AA414" s="759"/>
      <c r="AB414" s="759"/>
      <c r="AC414" s="759"/>
      <c r="AD414" s="759"/>
      <c r="AE414" s="759"/>
      <c r="AF414" s="409"/>
      <c r="AG414" s="409"/>
      <c r="AH414" s="409"/>
      <c r="AI414" s="409"/>
      <c r="AJ414" s="409"/>
      <c r="AK414" s="409"/>
      <c r="AL414" s="409"/>
      <c r="AM414" s="296">
        <f>SUM(Y414:AL414)</f>
        <v>1</v>
      </c>
    </row>
    <row r="415" spans="2:39" ht="15.5" outlineLevel="1">
      <c r="B415" s="294" t="s">
        <v>259</v>
      </c>
      <c r="C415" s="291" t="s">
        <v>163</v>
      </c>
      <c r="D415" s="295"/>
      <c r="E415" s="295"/>
      <c r="F415" s="295"/>
      <c r="G415" s="295"/>
      <c r="H415" s="295"/>
      <c r="I415" s="295"/>
      <c r="J415" s="295"/>
      <c r="K415" s="295"/>
      <c r="L415" s="295"/>
      <c r="M415" s="295"/>
      <c r="N415" s="751"/>
      <c r="O415" s="295"/>
      <c r="P415" s="295"/>
      <c r="Q415" s="295"/>
      <c r="R415" s="295"/>
      <c r="S415" s="295"/>
      <c r="T415" s="295"/>
      <c r="U415" s="295"/>
      <c r="V415" s="295"/>
      <c r="W415" s="295"/>
      <c r="X415" s="295"/>
      <c r="Y415" s="760">
        <f>Y414</f>
        <v>1</v>
      </c>
      <c r="Z415" s="760">
        <f>Z414</f>
        <v>0</v>
      </c>
      <c r="AA415" s="760">
        <f t="shared" si="221" ref="AA415:AE415">AA414</f>
        <v>0</v>
      </c>
      <c r="AB415" s="760">
        <f t="shared" si="221"/>
        <v>0</v>
      </c>
      <c r="AC415" s="760">
        <f t="shared" si="221"/>
        <v>0</v>
      </c>
      <c r="AD415" s="760">
        <f t="shared" si="221"/>
        <v>0</v>
      </c>
      <c r="AE415" s="760">
        <f t="shared" si="221"/>
        <v>0</v>
      </c>
      <c r="AF415" s="410">
        <f t="shared" si="222" ref="AF415:AL415">AF414</f>
        <v>0</v>
      </c>
      <c r="AG415" s="410">
        <f t="shared" si="222"/>
        <v>0</v>
      </c>
      <c r="AH415" s="410">
        <f t="shared" si="222"/>
        <v>0</v>
      </c>
      <c r="AI415" s="410">
        <f t="shared" si="222"/>
        <v>0</v>
      </c>
      <c r="AJ415" s="410">
        <f t="shared" si="222"/>
        <v>0</v>
      </c>
      <c r="AK415" s="410">
        <f t="shared" si="222"/>
        <v>0</v>
      </c>
      <c r="AL415" s="410">
        <f t="shared" si="222"/>
        <v>0</v>
      </c>
      <c r="AM415" s="297"/>
    </row>
    <row r="416" spans="2:39" ht="15.5" outlineLevel="1">
      <c r="B416" s="294"/>
      <c r="C416" s="305"/>
      <c r="D416" s="750"/>
      <c r="E416" s="750"/>
      <c r="F416" s="750"/>
      <c r="G416" s="750"/>
      <c r="H416" s="750"/>
      <c r="I416" s="750"/>
      <c r="J416" s="750"/>
      <c r="K416" s="750"/>
      <c r="L416" s="750"/>
      <c r="M416" s="750"/>
      <c r="N416" s="283"/>
      <c r="O416" s="750"/>
      <c r="P416" s="750"/>
      <c r="Q416" s="750"/>
      <c r="R416" s="750"/>
      <c r="S416" s="750"/>
      <c r="T416" s="750"/>
      <c r="U416" s="750"/>
      <c r="V416" s="750"/>
      <c r="W416" s="750"/>
      <c r="X416" s="750"/>
      <c r="Y416" s="761"/>
      <c r="Z416" s="761"/>
      <c r="AA416" s="761"/>
      <c r="AB416" s="761"/>
      <c r="AC416" s="761"/>
      <c r="AD416" s="761"/>
      <c r="AE416" s="761"/>
      <c r="AF416" s="411"/>
      <c r="AG416" s="411"/>
      <c r="AH416" s="411"/>
      <c r="AI416" s="411"/>
      <c r="AJ416" s="411"/>
      <c r="AK416" s="411"/>
      <c r="AL416" s="411"/>
      <c r="AM416" s="306"/>
    </row>
    <row r="417" spans="1:39" ht="15.5" outlineLevel="1">
      <c r="A417" s="503">
        <v>4</v>
      </c>
      <c r="B417" s="294" t="s">
        <v>4</v>
      </c>
      <c r="C417" s="291" t="s">
        <v>25</v>
      </c>
      <c r="D417" s="295">
        <f>'7.  Persistence Report'!AT96</f>
        <v>154152.75940000001</v>
      </c>
      <c r="E417" s="295">
        <f>'7.  Persistence Report'!AU96</f>
        <v>143541.01629999999</v>
      </c>
      <c r="F417" s="295">
        <f>'7.  Persistence Report'!AV96</f>
        <v>138415.80780000001</v>
      </c>
      <c r="G417" s="295">
        <f>'7.  Persistence Report'!AW96</f>
        <v>138415.80780000001</v>
      </c>
      <c r="H417" s="295">
        <f>'7.  Persistence Report'!AX96</f>
        <v>138415.80780000001</v>
      </c>
      <c r="I417" s="295">
        <f>'7.  Persistence Report'!AY96</f>
        <v>138415.80780000001</v>
      </c>
      <c r="J417" s="295">
        <f>'7.  Persistence Report'!AZ96</f>
        <v>138415.80780000001</v>
      </c>
      <c r="K417" s="295">
        <f>'7.  Persistence Report'!BA96</f>
        <v>138146.7231</v>
      </c>
      <c r="L417" s="295">
        <f>'7.  Persistence Report'!BB96</f>
        <v>138146.7231</v>
      </c>
      <c r="M417" s="295">
        <f>'7.  Persistence Report'!BC96</f>
        <v>118199.56050000001</v>
      </c>
      <c r="N417" s="750"/>
      <c r="O417" s="295">
        <f>'7.  Persistence Report'!O96</f>
        <v>11.53298644</v>
      </c>
      <c r="P417" s="295">
        <f>'7.  Persistence Report'!P96</f>
        <v>10.866809870000001</v>
      </c>
      <c r="Q417" s="295">
        <f>'7.  Persistence Report'!Q96</f>
        <v>10.54506312</v>
      </c>
      <c r="R417" s="295">
        <f>'7.  Persistence Report'!R96</f>
        <v>10.54506312</v>
      </c>
      <c r="S417" s="295">
        <f>'7.  Persistence Report'!S96</f>
        <v>10.54506312</v>
      </c>
      <c r="T417" s="295">
        <f>'7.  Persistence Report'!T96</f>
        <v>10.54506312</v>
      </c>
      <c r="U417" s="295">
        <f>'7.  Persistence Report'!U96</f>
        <v>10.54506312</v>
      </c>
      <c r="V417" s="295">
        <f>'7.  Persistence Report'!V96</f>
        <v>10.514345690000001</v>
      </c>
      <c r="W417" s="295">
        <f>'7.  Persistence Report'!W96</f>
        <v>10.514345690000001</v>
      </c>
      <c r="X417" s="295">
        <f>'7.  Persistence Report'!X96</f>
        <v>9.2621166989999999</v>
      </c>
      <c r="Y417" s="759">
        <v>1</v>
      </c>
      <c r="Z417" s="759"/>
      <c r="AA417" s="759"/>
      <c r="AB417" s="759"/>
      <c r="AC417" s="759"/>
      <c r="AD417" s="759"/>
      <c r="AE417" s="759"/>
      <c r="AF417" s="409"/>
      <c r="AG417" s="409"/>
      <c r="AH417" s="409"/>
      <c r="AI417" s="409"/>
      <c r="AJ417" s="409"/>
      <c r="AK417" s="409"/>
      <c r="AL417" s="409"/>
      <c r="AM417" s="296">
        <f>SUM(Y417:AL417)</f>
        <v>1</v>
      </c>
    </row>
    <row r="418" spans="2:39" ht="15.5" outlineLevel="1">
      <c r="B418" s="294" t="s">
        <v>259</v>
      </c>
      <c r="C418" s="291" t="s">
        <v>163</v>
      </c>
      <c r="D418" s="295"/>
      <c r="E418" s="295"/>
      <c r="F418" s="295"/>
      <c r="G418" s="295"/>
      <c r="H418" s="295"/>
      <c r="I418" s="295"/>
      <c r="J418" s="295"/>
      <c r="K418" s="295"/>
      <c r="L418" s="295"/>
      <c r="M418" s="295"/>
      <c r="N418" s="751"/>
      <c r="O418" s="295"/>
      <c r="P418" s="295"/>
      <c r="Q418" s="295"/>
      <c r="R418" s="295"/>
      <c r="S418" s="295"/>
      <c r="T418" s="295"/>
      <c r="U418" s="295"/>
      <c r="V418" s="295"/>
      <c r="W418" s="295"/>
      <c r="X418" s="295"/>
      <c r="Y418" s="760">
        <f>Y417</f>
        <v>1</v>
      </c>
      <c r="Z418" s="760">
        <f>Z417</f>
        <v>0</v>
      </c>
      <c r="AA418" s="760">
        <f t="shared" si="223" ref="AA418:AE418">AA417</f>
        <v>0</v>
      </c>
      <c r="AB418" s="760">
        <f t="shared" si="223"/>
        <v>0</v>
      </c>
      <c r="AC418" s="760">
        <f t="shared" si="223"/>
        <v>0</v>
      </c>
      <c r="AD418" s="760">
        <f t="shared" si="223"/>
        <v>0</v>
      </c>
      <c r="AE418" s="760">
        <f t="shared" si="223"/>
        <v>0</v>
      </c>
      <c r="AF418" s="410">
        <f t="shared" si="224" ref="AF418:AL418">AF417</f>
        <v>0</v>
      </c>
      <c r="AG418" s="410">
        <f t="shared" si="224"/>
        <v>0</v>
      </c>
      <c r="AH418" s="410">
        <f t="shared" si="224"/>
        <v>0</v>
      </c>
      <c r="AI418" s="410">
        <f t="shared" si="224"/>
        <v>0</v>
      </c>
      <c r="AJ418" s="410">
        <f t="shared" si="224"/>
        <v>0</v>
      </c>
      <c r="AK418" s="410">
        <f t="shared" si="224"/>
        <v>0</v>
      </c>
      <c r="AL418" s="410">
        <f t="shared" si="224"/>
        <v>0</v>
      </c>
      <c r="AM418" s="297"/>
    </row>
    <row r="419" spans="2:39" ht="15.5" outlineLevel="1">
      <c r="B419" s="294"/>
      <c r="C419" s="305"/>
      <c r="D419" s="753"/>
      <c r="E419" s="753"/>
      <c r="F419" s="753"/>
      <c r="G419" s="753"/>
      <c r="H419" s="753"/>
      <c r="I419" s="753"/>
      <c r="J419" s="753"/>
      <c r="K419" s="753"/>
      <c r="L419" s="753"/>
      <c r="M419" s="753"/>
      <c r="N419" s="750"/>
      <c r="O419" s="753"/>
      <c r="P419" s="753"/>
      <c r="Q419" s="753"/>
      <c r="R419" s="753"/>
      <c r="S419" s="753"/>
      <c r="T419" s="753"/>
      <c r="U419" s="753"/>
      <c r="V419" s="753"/>
      <c r="W419" s="753"/>
      <c r="X419" s="753"/>
      <c r="Y419" s="761"/>
      <c r="Z419" s="761"/>
      <c r="AA419" s="761"/>
      <c r="AB419" s="761"/>
      <c r="AC419" s="761"/>
      <c r="AD419" s="761"/>
      <c r="AE419" s="761"/>
      <c r="AF419" s="411"/>
      <c r="AG419" s="411"/>
      <c r="AH419" s="411"/>
      <c r="AI419" s="411"/>
      <c r="AJ419" s="411"/>
      <c r="AK419" s="411"/>
      <c r="AL419" s="411"/>
      <c r="AM419" s="306"/>
    </row>
    <row r="420" spans="1:39" ht="15.5" outlineLevel="1">
      <c r="A420" s="503">
        <v>5</v>
      </c>
      <c r="B420" s="294" t="s">
        <v>5</v>
      </c>
      <c r="C420" s="291" t="s">
        <v>25</v>
      </c>
      <c r="D420" s="295">
        <f>'7.  Persistence Report'!AT95</f>
        <v>672861.92119999998</v>
      </c>
      <c r="E420" s="295">
        <f>'7.  Persistence Report'!AU95</f>
        <v>583700.60889999999</v>
      </c>
      <c r="F420" s="295">
        <f>'7.  Persistence Report'!AV95</f>
        <v>537234.66980000003</v>
      </c>
      <c r="G420" s="295">
        <f>'7.  Persistence Report'!AW95</f>
        <v>537234.66980000003</v>
      </c>
      <c r="H420" s="295">
        <f>'7.  Persistence Report'!AX95</f>
        <v>537234.66980000003</v>
      </c>
      <c r="I420" s="295">
        <f>'7.  Persistence Report'!AY95</f>
        <v>537234.66980000003</v>
      </c>
      <c r="J420" s="295">
        <f>'7.  Persistence Report'!AZ95</f>
        <v>537234.66980000003</v>
      </c>
      <c r="K420" s="295">
        <f>'7.  Persistence Report'!BA95</f>
        <v>537001.94790000003</v>
      </c>
      <c r="L420" s="295">
        <f>'7.  Persistence Report'!BB95</f>
        <v>537001.94790000003</v>
      </c>
      <c r="M420" s="295">
        <f>'7.  Persistence Report'!BC95</f>
        <v>499441.64559999999</v>
      </c>
      <c r="N420" s="750"/>
      <c r="O420" s="295">
        <f>'7.  Persistence Report'!O95</f>
        <v>44.035646810000003</v>
      </c>
      <c r="P420" s="295">
        <f>'7.  Persistence Report'!P95</f>
        <v>38.438340439999998</v>
      </c>
      <c r="Q420" s="295">
        <f>'7.  Persistence Report'!Q95</f>
        <v>35.521334289999999</v>
      </c>
      <c r="R420" s="295">
        <f>'7.  Persistence Report'!R95</f>
        <v>35.521334289999999</v>
      </c>
      <c r="S420" s="295">
        <f>'7.  Persistence Report'!S95</f>
        <v>35.521334289999999</v>
      </c>
      <c r="T420" s="295">
        <f>'7.  Persistence Report'!T95</f>
        <v>35.521334289999999</v>
      </c>
      <c r="U420" s="295">
        <f>'7.  Persistence Report'!U95</f>
        <v>35.521334289999999</v>
      </c>
      <c r="V420" s="295">
        <f>'7.  Persistence Report'!V95</f>
        <v>35.494767860000003</v>
      </c>
      <c r="W420" s="295">
        <f>'7.  Persistence Report'!W95</f>
        <v>35.494767860000003</v>
      </c>
      <c r="X420" s="295">
        <f>'7.  Persistence Report'!X95</f>
        <v>33.136833529999997</v>
      </c>
      <c r="Y420" s="759">
        <v>1</v>
      </c>
      <c r="Z420" s="759"/>
      <c r="AA420" s="759"/>
      <c r="AB420" s="759"/>
      <c r="AC420" s="759"/>
      <c r="AD420" s="759"/>
      <c r="AE420" s="759"/>
      <c r="AF420" s="409"/>
      <c r="AG420" s="409"/>
      <c r="AH420" s="409"/>
      <c r="AI420" s="409"/>
      <c r="AJ420" s="409"/>
      <c r="AK420" s="409"/>
      <c r="AL420" s="409"/>
      <c r="AM420" s="296">
        <f>SUM(Y420:AL420)</f>
        <v>1</v>
      </c>
    </row>
    <row r="421" spans="2:39" ht="15.5" outlineLevel="1">
      <c r="B421" s="294" t="s">
        <v>259</v>
      </c>
      <c r="C421" s="291" t="s">
        <v>163</v>
      </c>
      <c r="D421" s="295"/>
      <c r="E421" s="295"/>
      <c r="F421" s="295"/>
      <c r="G421" s="295"/>
      <c r="H421" s="295"/>
      <c r="I421" s="295"/>
      <c r="J421" s="295"/>
      <c r="K421" s="295"/>
      <c r="L421" s="295"/>
      <c r="M421" s="295"/>
      <c r="N421" s="751"/>
      <c r="O421" s="295"/>
      <c r="P421" s="295"/>
      <c r="Q421" s="295"/>
      <c r="R421" s="295"/>
      <c r="S421" s="295"/>
      <c r="T421" s="295"/>
      <c r="U421" s="295"/>
      <c r="V421" s="295"/>
      <c r="W421" s="295"/>
      <c r="X421" s="295"/>
      <c r="Y421" s="760">
        <f>Y420</f>
        <v>1</v>
      </c>
      <c r="Z421" s="760">
        <f>Z420</f>
        <v>0</v>
      </c>
      <c r="AA421" s="760">
        <f t="shared" si="225" ref="AA421:AE421">AA420</f>
        <v>0</v>
      </c>
      <c r="AB421" s="760">
        <f t="shared" si="225"/>
        <v>0</v>
      </c>
      <c r="AC421" s="760">
        <f t="shared" si="225"/>
        <v>0</v>
      </c>
      <c r="AD421" s="760">
        <f t="shared" si="225"/>
        <v>0</v>
      </c>
      <c r="AE421" s="760">
        <f t="shared" si="225"/>
        <v>0</v>
      </c>
      <c r="AF421" s="410">
        <f t="shared" si="226" ref="AF421:AL421">AF420</f>
        <v>0</v>
      </c>
      <c r="AG421" s="410">
        <f t="shared" si="226"/>
        <v>0</v>
      </c>
      <c r="AH421" s="410">
        <f t="shared" si="226"/>
        <v>0</v>
      </c>
      <c r="AI421" s="410">
        <f t="shared" si="226"/>
        <v>0</v>
      </c>
      <c r="AJ421" s="410">
        <f t="shared" si="226"/>
        <v>0</v>
      </c>
      <c r="AK421" s="410">
        <f t="shared" si="226"/>
        <v>0</v>
      </c>
      <c r="AL421" s="410">
        <f t="shared" si="226"/>
        <v>0</v>
      </c>
      <c r="AM421" s="297"/>
    </row>
    <row r="422" spans="2:39" ht="15.5" outlineLevel="1">
      <c r="B422" s="294"/>
      <c r="C422" s="305"/>
      <c r="D422" s="753"/>
      <c r="E422" s="753"/>
      <c r="F422" s="753"/>
      <c r="G422" s="753"/>
      <c r="H422" s="753"/>
      <c r="I422" s="753"/>
      <c r="J422" s="753"/>
      <c r="K422" s="753"/>
      <c r="L422" s="753"/>
      <c r="M422" s="753"/>
      <c r="N422" s="750"/>
      <c r="O422" s="753"/>
      <c r="P422" s="753"/>
      <c r="Q422" s="753"/>
      <c r="R422" s="753"/>
      <c r="S422" s="753"/>
      <c r="T422" s="753"/>
      <c r="U422" s="753"/>
      <c r="V422" s="753"/>
      <c r="W422" s="753"/>
      <c r="X422" s="753"/>
      <c r="Y422" s="761"/>
      <c r="Z422" s="761"/>
      <c r="AA422" s="761"/>
      <c r="AB422" s="761"/>
      <c r="AC422" s="761"/>
      <c r="AD422" s="761"/>
      <c r="AE422" s="761"/>
      <c r="AF422" s="411"/>
      <c r="AG422" s="411"/>
      <c r="AH422" s="411"/>
      <c r="AI422" s="411"/>
      <c r="AJ422" s="411"/>
      <c r="AK422" s="411"/>
      <c r="AL422" s="411"/>
      <c r="AM422" s="306"/>
    </row>
    <row r="423" spans="1:39" ht="15.5" outlineLevel="1">
      <c r="A423" s="503">
        <v>6</v>
      </c>
      <c r="B423" s="294" t="s">
        <v>6</v>
      </c>
      <c r="C423" s="291" t="s">
        <v>25</v>
      </c>
      <c r="D423" s="295"/>
      <c r="E423" s="295"/>
      <c r="F423" s="295"/>
      <c r="G423" s="295"/>
      <c r="H423" s="295"/>
      <c r="I423" s="295"/>
      <c r="J423" s="295"/>
      <c r="K423" s="295"/>
      <c r="L423" s="295"/>
      <c r="M423" s="295"/>
      <c r="N423" s="750"/>
      <c r="O423" s="295"/>
      <c r="P423" s="295"/>
      <c r="Q423" s="295"/>
      <c r="R423" s="295"/>
      <c r="S423" s="295"/>
      <c r="T423" s="295"/>
      <c r="U423" s="295"/>
      <c r="V423" s="295"/>
      <c r="W423" s="295"/>
      <c r="X423" s="295"/>
      <c r="Y423" s="759"/>
      <c r="Z423" s="759"/>
      <c r="AA423" s="759"/>
      <c r="AB423" s="759"/>
      <c r="AC423" s="759"/>
      <c r="AD423" s="759"/>
      <c r="AE423" s="759"/>
      <c r="AF423" s="409"/>
      <c r="AG423" s="409"/>
      <c r="AH423" s="409"/>
      <c r="AI423" s="409"/>
      <c r="AJ423" s="409"/>
      <c r="AK423" s="409"/>
      <c r="AL423" s="409"/>
      <c r="AM423" s="296">
        <f>SUM(Y423:AL423)</f>
        <v>0</v>
      </c>
    </row>
    <row r="424" spans="2:39" ht="15.5" outlineLevel="1">
      <c r="B424" s="294" t="s">
        <v>259</v>
      </c>
      <c r="C424" s="291" t="s">
        <v>163</v>
      </c>
      <c r="D424" s="295"/>
      <c r="E424" s="295"/>
      <c r="F424" s="295"/>
      <c r="G424" s="295"/>
      <c r="H424" s="295"/>
      <c r="I424" s="295"/>
      <c r="J424" s="295"/>
      <c r="K424" s="295"/>
      <c r="L424" s="295"/>
      <c r="M424" s="295"/>
      <c r="N424" s="751"/>
      <c r="O424" s="295"/>
      <c r="P424" s="295"/>
      <c r="Q424" s="295"/>
      <c r="R424" s="295"/>
      <c r="S424" s="295"/>
      <c r="T424" s="295"/>
      <c r="U424" s="295"/>
      <c r="V424" s="295"/>
      <c r="W424" s="295"/>
      <c r="X424" s="295"/>
      <c r="Y424" s="760">
        <f>Y423</f>
        <v>0</v>
      </c>
      <c r="Z424" s="760">
        <f>Z423</f>
        <v>0</v>
      </c>
      <c r="AA424" s="760">
        <f t="shared" si="227" ref="AA424:AE424">AA423</f>
        <v>0</v>
      </c>
      <c r="AB424" s="760">
        <f t="shared" si="227"/>
        <v>0</v>
      </c>
      <c r="AC424" s="760">
        <f t="shared" si="227"/>
        <v>0</v>
      </c>
      <c r="AD424" s="760">
        <f t="shared" si="227"/>
        <v>0</v>
      </c>
      <c r="AE424" s="760">
        <f t="shared" si="227"/>
        <v>0</v>
      </c>
      <c r="AF424" s="410">
        <f t="shared" si="228" ref="AF424:AL424">AF423</f>
        <v>0</v>
      </c>
      <c r="AG424" s="410">
        <f t="shared" si="228"/>
        <v>0</v>
      </c>
      <c r="AH424" s="410">
        <f t="shared" si="228"/>
        <v>0</v>
      </c>
      <c r="AI424" s="410">
        <f t="shared" si="228"/>
        <v>0</v>
      </c>
      <c r="AJ424" s="410">
        <f t="shared" si="228"/>
        <v>0</v>
      </c>
      <c r="AK424" s="410">
        <f t="shared" si="228"/>
        <v>0</v>
      </c>
      <c r="AL424" s="410">
        <f t="shared" si="228"/>
        <v>0</v>
      </c>
      <c r="AM424" s="297"/>
    </row>
    <row r="425" spans="2:39" ht="15.5" outlineLevel="1">
      <c r="B425" s="294"/>
      <c r="C425" s="305"/>
      <c r="D425" s="753"/>
      <c r="E425" s="753"/>
      <c r="F425" s="753"/>
      <c r="G425" s="753"/>
      <c r="H425" s="753"/>
      <c r="I425" s="753"/>
      <c r="J425" s="753"/>
      <c r="K425" s="753"/>
      <c r="L425" s="753"/>
      <c r="M425" s="753"/>
      <c r="N425" s="750"/>
      <c r="O425" s="753"/>
      <c r="P425" s="753"/>
      <c r="Q425" s="753"/>
      <c r="R425" s="753"/>
      <c r="S425" s="753"/>
      <c r="T425" s="753"/>
      <c r="U425" s="753"/>
      <c r="V425" s="753"/>
      <c r="W425" s="753"/>
      <c r="X425" s="753"/>
      <c r="Y425" s="761"/>
      <c r="Z425" s="761"/>
      <c r="AA425" s="761"/>
      <c r="AB425" s="761"/>
      <c r="AC425" s="761"/>
      <c r="AD425" s="761"/>
      <c r="AE425" s="761"/>
      <c r="AF425" s="411"/>
      <c r="AG425" s="411"/>
      <c r="AH425" s="411"/>
      <c r="AI425" s="411"/>
      <c r="AJ425" s="411"/>
      <c r="AK425" s="411"/>
      <c r="AL425" s="411"/>
      <c r="AM425" s="306"/>
    </row>
    <row r="426" spans="1:39" ht="15.5" outlineLevel="1">
      <c r="A426" s="503">
        <v>7</v>
      </c>
      <c r="B426" s="294" t="s">
        <v>42</v>
      </c>
      <c r="C426" s="291" t="s">
        <v>25</v>
      </c>
      <c r="D426" s="295"/>
      <c r="E426" s="295"/>
      <c r="F426" s="295"/>
      <c r="G426" s="295"/>
      <c r="H426" s="295"/>
      <c r="I426" s="295"/>
      <c r="J426" s="295"/>
      <c r="K426" s="295"/>
      <c r="L426" s="295"/>
      <c r="M426" s="295"/>
      <c r="N426" s="750"/>
      <c r="O426" s="295"/>
      <c r="P426" s="295"/>
      <c r="Q426" s="295"/>
      <c r="R426" s="295"/>
      <c r="S426" s="295"/>
      <c r="T426" s="295"/>
      <c r="U426" s="295"/>
      <c r="V426" s="295"/>
      <c r="W426" s="295"/>
      <c r="X426" s="295"/>
      <c r="Y426" s="759"/>
      <c r="Z426" s="759"/>
      <c r="AA426" s="759"/>
      <c r="AB426" s="759"/>
      <c r="AC426" s="759"/>
      <c r="AD426" s="759"/>
      <c r="AE426" s="759"/>
      <c r="AF426" s="409"/>
      <c r="AG426" s="409"/>
      <c r="AH426" s="409"/>
      <c r="AI426" s="409"/>
      <c r="AJ426" s="409"/>
      <c r="AK426" s="409"/>
      <c r="AL426" s="409"/>
      <c r="AM426" s="296">
        <f>SUM(Y426:AL426)</f>
        <v>0</v>
      </c>
    </row>
    <row r="427" spans="2:39" ht="15.5" outlineLevel="1">
      <c r="B427" s="294" t="s">
        <v>259</v>
      </c>
      <c r="C427" s="291" t="s">
        <v>163</v>
      </c>
      <c r="D427" s="295"/>
      <c r="E427" s="295"/>
      <c r="F427" s="295"/>
      <c r="G427" s="295"/>
      <c r="H427" s="295"/>
      <c r="I427" s="295"/>
      <c r="J427" s="295"/>
      <c r="K427" s="295"/>
      <c r="L427" s="295"/>
      <c r="M427" s="295"/>
      <c r="N427" s="750"/>
      <c r="O427" s="295"/>
      <c r="P427" s="295"/>
      <c r="Q427" s="295"/>
      <c r="R427" s="295"/>
      <c r="S427" s="295"/>
      <c r="T427" s="295"/>
      <c r="U427" s="295"/>
      <c r="V427" s="295"/>
      <c r="W427" s="295"/>
      <c r="X427" s="295"/>
      <c r="Y427" s="760">
        <f>Y426</f>
        <v>0</v>
      </c>
      <c r="Z427" s="760">
        <f>Z426</f>
        <v>0</v>
      </c>
      <c r="AA427" s="760">
        <f t="shared" si="229" ref="AA427:AE427">AA426</f>
        <v>0</v>
      </c>
      <c r="AB427" s="760">
        <f t="shared" si="229"/>
        <v>0</v>
      </c>
      <c r="AC427" s="760">
        <f t="shared" si="229"/>
        <v>0</v>
      </c>
      <c r="AD427" s="760">
        <f t="shared" si="229"/>
        <v>0</v>
      </c>
      <c r="AE427" s="760">
        <f t="shared" si="229"/>
        <v>0</v>
      </c>
      <c r="AF427" s="410">
        <f t="shared" si="230" ref="AF427:AL427">AF426</f>
        <v>0</v>
      </c>
      <c r="AG427" s="410">
        <f t="shared" si="230"/>
        <v>0</v>
      </c>
      <c r="AH427" s="410">
        <f t="shared" si="230"/>
        <v>0</v>
      </c>
      <c r="AI427" s="410">
        <f t="shared" si="230"/>
        <v>0</v>
      </c>
      <c r="AJ427" s="410">
        <f t="shared" si="230"/>
        <v>0</v>
      </c>
      <c r="AK427" s="410">
        <f t="shared" si="230"/>
        <v>0</v>
      </c>
      <c r="AL427" s="410">
        <f t="shared" si="230"/>
        <v>0</v>
      </c>
      <c r="AM427" s="297"/>
    </row>
    <row r="428" spans="2:39" ht="15.5" outlineLevel="1">
      <c r="B428" s="294"/>
      <c r="C428" s="305"/>
      <c r="D428" s="753"/>
      <c r="E428" s="753"/>
      <c r="F428" s="753"/>
      <c r="G428" s="753"/>
      <c r="H428" s="753"/>
      <c r="I428" s="753"/>
      <c r="J428" s="753"/>
      <c r="K428" s="753"/>
      <c r="L428" s="753"/>
      <c r="M428" s="753"/>
      <c r="N428" s="750"/>
      <c r="O428" s="753"/>
      <c r="P428" s="753"/>
      <c r="Q428" s="753"/>
      <c r="R428" s="753"/>
      <c r="S428" s="753"/>
      <c r="T428" s="753"/>
      <c r="U428" s="753"/>
      <c r="V428" s="753"/>
      <c r="W428" s="753"/>
      <c r="X428" s="753"/>
      <c r="Y428" s="761"/>
      <c r="Z428" s="761"/>
      <c r="AA428" s="761"/>
      <c r="AB428" s="761"/>
      <c r="AC428" s="761"/>
      <c r="AD428" s="761"/>
      <c r="AE428" s="761"/>
      <c r="AF428" s="411"/>
      <c r="AG428" s="411"/>
      <c r="AH428" s="411"/>
      <c r="AI428" s="411"/>
      <c r="AJ428" s="411"/>
      <c r="AK428" s="411"/>
      <c r="AL428" s="411"/>
      <c r="AM428" s="306"/>
    </row>
    <row r="429" spans="1:39" s="283" customFormat="1" ht="15.5" outlineLevel="1">
      <c r="A429" s="503">
        <v>8</v>
      </c>
      <c r="B429" s="294" t="s">
        <v>484</v>
      </c>
      <c r="C429" s="291" t="s">
        <v>25</v>
      </c>
      <c r="D429" s="295"/>
      <c r="E429" s="295"/>
      <c r="F429" s="295"/>
      <c r="G429" s="295"/>
      <c r="H429" s="295"/>
      <c r="I429" s="295"/>
      <c r="J429" s="295"/>
      <c r="K429" s="295"/>
      <c r="L429" s="295"/>
      <c r="M429" s="295"/>
      <c r="N429" s="750"/>
      <c r="O429" s="295"/>
      <c r="P429" s="295"/>
      <c r="Q429" s="295"/>
      <c r="R429" s="295"/>
      <c r="S429" s="295"/>
      <c r="T429" s="295"/>
      <c r="U429" s="295"/>
      <c r="V429" s="295"/>
      <c r="W429" s="295"/>
      <c r="X429" s="295"/>
      <c r="Y429" s="759"/>
      <c r="Z429" s="759"/>
      <c r="AA429" s="759"/>
      <c r="AB429" s="759"/>
      <c r="AC429" s="759"/>
      <c r="AD429" s="759"/>
      <c r="AE429" s="759"/>
      <c r="AF429" s="409"/>
      <c r="AG429" s="409"/>
      <c r="AH429" s="409"/>
      <c r="AI429" s="409"/>
      <c r="AJ429" s="409"/>
      <c r="AK429" s="409"/>
      <c r="AL429" s="409"/>
      <c r="AM429" s="296">
        <f>SUM(Y429:AL429)</f>
        <v>0</v>
      </c>
    </row>
    <row r="430" spans="1:39" s="283" customFormat="1" ht="15.5" outlineLevel="1">
      <c r="A430" s="503"/>
      <c r="B430" s="294" t="s">
        <v>259</v>
      </c>
      <c r="C430" s="291" t="s">
        <v>163</v>
      </c>
      <c r="D430" s="295"/>
      <c r="E430" s="295"/>
      <c r="F430" s="295"/>
      <c r="G430" s="295"/>
      <c r="H430" s="295"/>
      <c r="I430" s="295"/>
      <c r="J430" s="295"/>
      <c r="K430" s="295"/>
      <c r="L430" s="295"/>
      <c r="M430" s="295"/>
      <c r="N430" s="750"/>
      <c r="O430" s="295"/>
      <c r="P430" s="295"/>
      <c r="Q430" s="295"/>
      <c r="R430" s="295"/>
      <c r="S430" s="295"/>
      <c r="T430" s="295"/>
      <c r="U430" s="295"/>
      <c r="V430" s="295"/>
      <c r="W430" s="295"/>
      <c r="X430" s="295"/>
      <c r="Y430" s="760">
        <f>Y429</f>
        <v>0</v>
      </c>
      <c r="Z430" s="760">
        <f>Z429</f>
        <v>0</v>
      </c>
      <c r="AA430" s="760">
        <f t="shared" si="231" ref="AA430:AE430">AA429</f>
        <v>0</v>
      </c>
      <c r="AB430" s="760">
        <f t="shared" si="231"/>
        <v>0</v>
      </c>
      <c r="AC430" s="760">
        <f t="shared" si="231"/>
        <v>0</v>
      </c>
      <c r="AD430" s="760">
        <f t="shared" si="231"/>
        <v>0</v>
      </c>
      <c r="AE430" s="760">
        <f t="shared" si="231"/>
        <v>0</v>
      </c>
      <c r="AF430" s="410">
        <f t="shared" si="232" ref="AF430:AL430">AF429</f>
        <v>0</v>
      </c>
      <c r="AG430" s="410">
        <f t="shared" si="232"/>
        <v>0</v>
      </c>
      <c r="AH430" s="410">
        <f t="shared" si="232"/>
        <v>0</v>
      </c>
      <c r="AI430" s="410">
        <f t="shared" si="232"/>
        <v>0</v>
      </c>
      <c r="AJ430" s="410">
        <f t="shared" si="232"/>
        <v>0</v>
      </c>
      <c r="AK430" s="410">
        <f t="shared" si="232"/>
        <v>0</v>
      </c>
      <c r="AL430" s="410">
        <f t="shared" si="232"/>
        <v>0</v>
      </c>
      <c r="AM430" s="297"/>
    </row>
    <row r="431" spans="1:39" s="283" customFormat="1" ht="15.5" outlineLevel="1">
      <c r="A431" s="503"/>
      <c r="B431" s="294"/>
      <c r="C431" s="305"/>
      <c r="D431" s="753"/>
      <c r="E431" s="753"/>
      <c r="F431" s="753"/>
      <c r="G431" s="753"/>
      <c r="H431" s="753"/>
      <c r="I431" s="753"/>
      <c r="J431" s="753"/>
      <c r="K431" s="753"/>
      <c r="L431" s="753"/>
      <c r="M431" s="753"/>
      <c r="N431" s="750"/>
      <c r="O431" s="753"/>
      <c r="P431" s="753"/>
      <c r="Q431" s="753"/>
      <c r="R431" s="753"/>
      <c r="S431" s="753"/>
      <c r="T431" s="753"/>
      <c r="U431" s="753"/>
      <c r="V431" s="753"/>
      <c r="W431" s="753"/>
      <c r="X431" s="753"/>
      <c r="Y431" s="761"/>
      <c r="Z431" s="761"/>
      <c r="AA431" s="761"/>
      <c r="AB431" s="761"/>
      <c r="AC431" s="761"/>
      <c r="AD431" s="761"/>
      <c r="AE431" s="761"/>
      <c r="AF431" s="411"/>
      <c r="AG431" s="411"/>
      <c r="AH431" s="411"/>
      <c r="AI431" s="411"/>
      <c r="AJ431" s="411"/>
      <c r="AK431" s="411"/>
      <c r="AL431" s="411"/>
      <c r="AM431" s="306"/>
    </row>
    <row r="432" spans="1:39" ht="15.5" outlineLevel="1">
      <c r="A432" s="503">
        <v>9</v>
      </c>
      <c r="B432" s="294" t="s">
        <v>7</v>
      </c>
      <c r="C432" s="291" t="s">
        <v>25</v>
      </c>
      <c r="D432" s="295">
        <f>'7.  Persistence Report'!AT99</f>
        <v>149950.19099999999</v>
      </c>
      <c r="E432" s="295">
        <f>'7.  Persistence Report'!AU99</f>
        <v>149950.19099999999</v>
      </c>
      <c r="F432" s="295">
        <f>'7.  Persistence Report'!AV99</f>
        <v>149950.19099999999</v>
      </c>
      <c r="G432" s="295">
        <f>'7.  Persistence Report'!AW99</f>
        <v>149950.19099999999</v>
      </c>
      <c r="H432" s="295">
        <f>'7.  Persistence Report'!AX99</f>
        <v>149950.19099999999</v>
      </c>
      <c r="I432" s="295">
        <f>'7.  Persistence Report'!AY99</f>
        <v>149950.19099999999</v>
      </c>
      <c r="J432" s="295">
        <f>'7.  Persistence Report'!AZ99</f>
        <v>149950.19099999999</v>
      </c>
      <c r="K432" s="295">
        <f>'7.  Persistence Report'!BA99</f>
        <v>149950.19099999999</v>
      </c>
      <c r="L432" s="295">
        <f>'7.  Persistence Report'!BB99</f>
        <v>149950.19099999999</v>
      </c>
      <c r="M432" s="295">
        <f>'7.  Persistence Report'!BC99</f>
        <v>149950.19099999999</v>
      </c>
      <c r="N432" s="750"/>
      <c r="O432" s="295">
        <f>'7.  Persistence Report'!O99</f>
        <v>22.5793395</v>
      </c>
      <c r="P432" s="295">
        <f>'7.  Persistence Report'!P99</f>
        <v>22.5793395</v>
      </c>
      <c r="Q432" s="295">
        <f>'7.  Persistence Report'!Q99</f>
        <v>22.5793395</v>
      </c>
      <c r="R432" s="295">
        <f>'7.  Persistence Report'!R99</f>
        <v>22.5793395</v>
      </c>
      <c r="S432" s="295">
        <f>'7.  Persistence Report'!S99</f>
        <v>22.5793395</v>
      </c>
      <c r="T432" s="295">
        <f>'7.  Persistence Report'!T99</f>
        <v>22.5793395</v>
      </c>
      <c r="U432" s="295">
        <f>'7.  Persistence Report'!U99</f>
        <v>22.5793395</v>
      </c>
      <c r="V432" s="295">
        <f>'7.  Persistence Report'!V99</f>
        <v>22.5793395</v>
      </c>
      <c r="W432" s="295">
        <f>'7.  Persistence Report'!W99</f>
        <v>22.5793395</v>
      </c>
      <c r="X432" s="295">
        <f>'7.  Persistence Report'!X99</f>
        <v>22.5793395</v>
      </c>
      <c r="Y432" s="759">
        <v>1</v>
      </c>
      <c r="Z432" s="759"/>
      <c r="AA432" s="759"/>
      <c r="AB432" s="759"/>
      <c r="AC432" s="759"/>
      <c r="AD432" s="759"/>
      <c r="AE432" s="759"/>
      <c r="AF432" s="409"/>
      <c r="AG432" s="409"/>
      <c r="AH432" s="409"/>
      <c r="AI432" s="409"/>
      <c r="AJ432" s="409"/>
      <c r="AK432" s="409"/>
      <c r="AL432" s="409"/>
      <c r="AM432" s="296">
        <f>SUM(Y432:AL432)</f>
        <v>1</v>
      </c>
    </row>
    <row r="433" spans="2:39" ht="15.5" outlineLevel="1">
      <c r="B433" s="294" t="s">
        <v>259</v>
      </c>
      <c r="C433" s="291" t="s">
        <v>163</v>
      </c>
      <c r="D433" s="295"/>
      <c r="E433" s="295"/>
      <c r="F433" s="295"/>
      <c r="G433" s="295"/>
      <c r="H433" s="295"/>
      <c r="I433" s="295"/>
      <c r="J433" s="295"/>
      <c r="K433" s="295"/>
      <c r="L433" s="295"/>
      <c r="M433" s="295"/>
      <c r="N433" s="750"/>
      <c r="O433" s="295"/>
      <c r="P433" s="295"/>
      <c r="Q433" s="295"/>
      <c r="R433" s="295"/>
      <c r="S433" s="295"/>
      <c r="T433" s="295"/>
      <c r="U433" s="295"/>
      <c r="V433" s="295"/>
      <c r="W433" s="295"/>
      <c r="X433" s="295"/>
      <c r="Y433" s="760">
        <f>Y432</f>
        <v>1</v>
      </c>
      <c r="Z433" s="760">
        <f>Z432</f>
        <v>0</v>
      </c>
      <c r="AA433" s="760">
        <f t="shared" si="233" ref="AA433:AE433">AA432</f>
        <v>0</v>
      </c>
      <c r="AB433" s="760">
        <f t="shared" si="233"/>
        <v>0</v>
      </c>
      <c r="AC433" s="760">
        <f t="shared" si="233"/>
        <v>0</v>
      </c>
      <c r="AD433" s="760">
        <f t="shared" si="233"/>
        <v>0</v>
      </c>
      <c r="AE433" s="760">
        <f t="shared" si="233"/>
        <v>0</v>
      </c>
      <c r="AF433" s="410">
        <f t="shared" si="234" ref="AF433:AL433">AF432</f>
        <v>0</v>
      </c>
      <c r="AG433" s="410">
        <f t="shared" si="234"/>
        <v>0</v>
      </c>
      <c r="AH433" s="410">
        <f t="shared" si="234"/>
        <v>0</v>
      </c>
      <c r="AI433" s="410">
        <f t="shared" si="234"/>
        <v>0</v>
      </c>
      <c r="AJ433" s="410">
        <f t="shared" si="234"/>
        <v>0</v>
      </c>
      <c r="AK433" s="410">
        <f t="shared" si="234"/>
        <v>0</v>
      </c>
      <c r="AL433" s="410">
        <f t="shared" si="234"/>
        <v>0</v>
      </c>
      <c r="AM433" s="297"/>
    </row>
    <row r="434" spans="2:39" ht="15.5" outlineLevel="1">
      <c r="B434" s="307"/>
      <c r="C434" s="308"/>
      <c r="D434" s="750"/>
      <c r="E434" s="750"/>
      <c r="F434" s="750"/>
      <c r="G434" s="750"/>
      <c r="H434" s="750"/>
      <c r="I434" s="750"/>
      <c r="J434" s="750"/>
      <c r="K434" s="750"/>
      <c r="L434" s="750"/>
      <c r="M434" s="750"/>
      <c r="N434" s="750"/>
      <c r="O434" s="750"/>
      <c r="P434" s="750"/>
      <c r="Q434" s="750"/>
      <c r="R434" s="750"/>
      <c r="S434" s="750"/>
      <c r="T434" s="750"/>
      <c r="U434" s="750"/>
      <c r="V434" s="750"/>
      <c r="W434" s="750"/>
      <c r="X434" s="750"/>
      <c r="Y434" s="761"/>
      <c r="Z434" s="761"/>
      <c r="AA434" s="761"/>
      <c r="AB434" s="761"/>
      <c r="AC434" s="761"/>
      <c r="AD434" s="761"/>
      <c r="AE434" s="761"/>
      <c r="AF434" s="411"/>
      <c r="AG434" s="411"/>
      <c r="AH434" s="411"/>
      <c r="AI434" s="411"/>
      <c r="AJ434" s="411"/>
      <c r="AK434" s="411"/>
      <c r="AL434" s="411"/>
      <c r="AM434" s="306"/>
    </row>
    <row r="435" spans="1:39" ht="15.5" outlineLevel="1">
      <c r="A435" s="504"/>
      <c r="B435" s="288" t="s">
        <v>8</v>
      </c>
      <c r="C435" s="289"/>
      <c r="D435" s="754"/>
      <c r="E435" s="754"/>
      <c r="F435" s="754"/>
      <c r="G435" s="754"/>
      <c r="H435" s="754"/>
      <c r="I435" s="754"/>
      <c r="J435" s="754"/>
      <c r="K435" s="754"/>
      <c r="L435" s="754"/>
      <c r="M435" s="754"/>
      <c r="N435" s="750"/>
      <c r="O435" s="754"/>
      <c r="P435" s="754"/>
      <c r="Q435" s="754"/>
      <c r="R435" s="754"/>
      <c r="S435" s="754"/>
      <c r="T435" s="754"/>
      <c r="U435" s="754"/>
      <c r="V435" s="754"/>
      <c r="W435" s="754"/>
      <c r="X435" s="754"/>
      <c r="Y435" s="763"/>
      <c r="Z435" s="763"/>
      <c r="AA435" s="763"/>
      <c r="AB435" s="763"/>
      <c r="AC435" s="763"/>
      <c r="AD435" s="763"/>
      <c r="AE435" s="763"/>
      <c r="AF435" s="413"/>
      <c r="AG435" s="413"/>
      <c r="AH435" s="413"/>
      <c r="AI435" s="413"/>
      <c r="AJ435" s="413"/>
      <c r="AK435" s="413"/>
      <c r="AL435" s="413"/>
      <c r="AM435" s="292"/>
    </row>
    <row r="436" spans="1:39" ht="15.5" outlineLevel="1">
      <c r="A436" s="503">
        <v>10</v>
      </c>
      <c r="B436" s="310" t="s">
        <v>22</v>
      </c>
      <c r="C436" s="291" t="s">
        <v>25</v>
      </c>
      <c r="D436" s="295">
        <f>'7.  Persistence Report'!AT89</f>
        <v>1553508.237</v>
      </c>
      <c r="E436" s="295">
        <f>'7.  Persistence Report'!AU89</f>
        <v>1553050.1000000001</v>
      </c>
      <c r="F436" s="295">
        <f>'7.  Persistence Report'!AV89</f>
        <v>1553050.1000000001</v>
      </c>
      <c r="G436" s="295">
        <f>'7.  Persistence Report'!AW89</f>
        <v>1546714.3489999999</v>
      </c>
      <c r="H436" s="295">
        <f>'7.  Persistence Report'!AX89</f>
        <v>1546714.3489999999</v>
      </c>
      <c r="I436" s="295">
        <f>'7.  Persistence Report'!AY89</f>
        <v>1464713.686</v>
      </c>
      <c r="J436" s="295">
        <f>'7.  Persistence Report'!AZ89</f>
        <v>1387605.767</v>
      </c>
      <c r="K436" s="295">
        <f>'7.  Persistence Report'!BA89</f>
        <v>1387605.767</v>
      </c>
      <c r="L436" s="295">
        <f>'7.  Persistence Report'!BB89</f>
        <v>1332261.6240000001</v>
      </c>
      <c r="M436" s="295">
        <f>'7.  Persistence Report'!BC89</f>
        <v>1001970.095</v>
      </c>
      <c r="N436" s="295">
        <v>12</v>
      </c>
      <c r="O436" s="295">
        <f>'7.  Persistence Report'!O89</f>
        <v>273.98344700000001</v>
      </c>
      <c r="P436" s="295">
        <f>'7.  Persistence Report'!P89</f>
        <v>273.85193029999999</v>
      </c>
      <c r="Q436" s="295">
        <f>'7.  Persistence Report'!Q89</f>
        <v>273.85193029999999</v>
      </c>
      <c r="R436" s="295">
        <f>'7.  Persistence Report'!R89</f>
        <v>272.03739150000001</v>
      </c>
      <c r="S436" s="295">
        <f>'7.  Persistence Report'!S89</f>
        <v>272.03739150000001</v>
      </c>
      <c r="T436" s="295">
        <f>'7.  Persistence Report'!T89</f>
        <v>248.49758009999999</v>
      </c>
      <c r="U436" s="295">
        <f>'7.  Persistence Report'!U89</f>
        <v>235.3691786</v>
      </c>
      <c r="V436" s="295">
        <f>'7.  Persistence Report'!V89</f>
        <v>235.3691786</v>
      </c>
      <c r="W436" s="295">
        <f>'7.  Persistence Report'!W89</f>
        <v>223.35833009999999</v>
      </c>
      <c r="X436" s="295">
        <f>'7.  Persistence Report'!X89</f>
        <v>167.74004590000001</v>
      </c>
      <c r="Y436" s="764"/>
      <c r="Z436" s="775">
        <v>0.25750000000000001</v>
      </c>
      <c r="AA436" s="775">
        <v>0.65980000000000005</v>
      </c>
      <c r="AB436" s="775">
        <v>0.082699999999999996</v>
      </c>
      <c r="AC436" s="764"/>
      <c r="AD436" s="764"/>
      <c r="AE436" s="764"/>
      <c r="AF436" s="414"/>
      <c r="AG436" s="414"/>
      <c r="AH436" s="414"/>
      <c r="AI436" s="414"/>
      <c r="AJ436" s="414"/>
      <c r="AK436" s="414"/>
      <c r="AL436" s="414"/>
      <c r="AM436" s="296">
        <f>SUM(Y436:AL436)</f>
        <v>1</v>
      </c>
    </row>
    <row r="437" spans="2: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60">
        <f>Y436</f>
        <v>0</v>
      </c>
      <c r="Z437" s="760">
        <f>Z436</f>
        <v>0.25750000000000001</v>
      </c>
      <c r="AA437" s="760">
        <f t="shared" si="235" ref="AA437:AE437">AA436</f>
        <v>0.65980000000000005</v>
      </c>
      <c r="AB437" s="760">
        <f t="shared" si="235"/>
        <v>0.082699999999999996</v>
      </c>
      <c r="AC437" s="760">
        <f t="shared" si="235"/>
        <v>0</v>
      </c>
      <c r="AD437" s="760">
        <f t="shared" si="235"/>
        <v>0</v>
      </c>
      <c r="AE437" s="760">
        <f t="shared" si="235"/>
        <v>0</v>
      </c>
      <c r="AF437" s="410">
        <f t="shared" si="236" ref="AF437:AL437">AF436</f>
        <v>0</v>
      </c>
      <c r="AG437" s="410">
        <f t="shared" si="236"/>
        <v>0</v>
      </c>
      <c r="AH437" s="410">
        <f t="shared" si="236"/>
        <v>0</v>
      </c>
      <c r="AI437" s="410">
        <f t="shared" si="236"/>
        <v>0</v>
      </c>
      <c r="AJ437" s="410">
        <f t="shared" si="236"/>
        <v>0</v>
      </c>
      <c r="AK437" s="410">
        <f t="shared" si="236"/>
        <v>0</v>
      </c>
      <c r="AL437" s="410">
        <f t="shared" si="236"/>
        <v>0</v>
      </c>
      <c r="AM437" s="311"/>
    </row>
    <row r="438" spans="2:39" ht="15.5" outlineLevel="1">
      <c r="B438" s="310"/>
      <c r="C438" s="312"/>
      <c r="D438" s="750"/>
      <c r="E438" s="750"/>
      <c r="F438" s="750"/>
      <c r="G438" s="750"/>
      <c r="H438" s="750"/>
      <c r="I438" s="750"/>
      <c r="J438" s="750"/>
      <c r="K438" s="750"/>
      <c r="L438" s="750"/>
      <c r="M438" s="750"/>
      <c r="N438" s="750"/>
      <c r="O438" s="750"/>
      <c r="P438" s="750"/>
      <c r="Q438" s="750"/>
      <c r="R438" s="750"/>
      <c r="S438" s="750"/>
      <c r="T438" s="750"/>
      <c r="U438" s="750"/>
      <c r="V438" s="750"/>
      <c r="W438" s="750"/>
      <c r="X438" s="750"/>
      <c r="Y438" s="765"/>
      <c r="Z438" s="765"/>
      <c r="AA438" s="765"/>
      <c r="AB438" s="765"/>
      <c r="AC438" s="765"/>
      <c r="AD438" s="765"/>
      <c r="AE438" s="765"/>
      <c r="AF438" s="415"/>
      <c r="AG438" s="415"/>
      <c r="AH438" s="415"/>
      <c r="AI438" s="415"/>
      <c r="AJ438" s="415"/>
      <c r="AK438" s="415"/>
      <c r="AL438" s="415"/>
      <c r="AM438" s="313"/>
    </row>
    <row r="439" spans="1:39" ht="15.5" outlineLevel="1">
      <c r="A439" s="503">
        <v>11</v>
      </c>
      <c r="B439" s="314" t="s">
        <v>21</v>
      </c>
      <c r="C439" s="291" t="s">
        <v>25</v>
      </c>
      <c r="D439" s="295">
        <f>'7.  Persistence Report'!AT86</f>
        <v>76510.412830000001</v>
      </c>
      <c r="E439" s="295">
        <f>'7.  Persistence Report'!AU86</f>
        <v>76510.412830000001</v>
      </c>
      <c r="F439" s="295">
        <f>'7.  Persistence Report'!AV86</f>
        <v>61937.727879999999</v>
      </c>
      <c r="G439" s="295">
        <f>'7.  Persistence Report'!AW86</f>
        <v>41663.551039999998</v>
      </c>
      <c r="H439" s="295">
        <f>'7.  Persistence Report'!AX86</f>
        <v>41663.551039999998</v>
      </c>
      <c r="I439" s="295">
        <f>'7.  Persistence Report'!AY86</f>
        <v>41663.551039999998</v>
      </c>
      <c r="J439" s="295">
        <f>'7.  Persistence Report'!AZ86</f>
        <v>41663.551039999998</v>
      </c>
      <c r="K439" s="295">
        <f>'7.  Persistence Report'!BA86</f>
        <v>41663.551039999998</v>
      </c>
      <c r="L439" s="295">
        <f>'7.  Persistence Report'!BB86</f>
        <v>41663.551039999998</v>
      </c>
      <c r="M439" s="295">
        <f>'7.  Persistence Report'!BC86</f>
        <v>41663.551039999998</v>
      </c>
      <c r="N439" s="295">
        <v>12</v>
      </c>
      <c r="O439" s="295">
        <f>'7.  Persistence Report'!O86</f>
        <v>20.830616890000002</v>
      </c>
      <c r="P439" s="295">
        <f>'7.  Persistence Report'!P86</f>
        <v>20.830616890000002</v>
      </c>
      <c r="Q439" s="295">
        <f>'7.  Persistence Report'!Q86</f>
        <v>16.512675779999999</v>
      </c>
      <c r="R439" s="295">
        <f>'7.  Persistence Report'!R86</f>
        <v>11.081446400000001</v>
      </c>
      <c r="S439" s="295">
        <f>'7.  Persistence Report'!S86</f>
        <v>11.081446400000001</v>
      </c>
      <c r="T439" s="295">
        <f>'7.  Persistence Report'!T86</f>
        <v>11.081446400000001</v>
      </c>
      <c r="U439" s="295">
        <f>'7.  Persistence Report'!U86</f>
        <v>11.081446400000001</v>
      </c>
      <c r="V439" s="295">
        <f>'7.  Persistence Report'!V86</f>
        <v>11.081446400000001</v>
      </c>
      <c r="W439" s="295">
        <f>'7.  Persistence Report'!W86</f>
        <v>11.081446400000001</v>
      </c>
      <c r="X439" s="295">
        <f>'7.  Persistence Report'!X86</f>
        <v>11.081446400000001</v>
      </c>
      <c r="Y439" s="764"/>
      <c r="Z439" s="775">
        <v>1</v>
      </c>
      <c r="AA439" s="764"/>
      <c r="AB439" s="764"/>
      <c r="AC439" s="764"/>
      <c r="AD439" s="764"/>
      <c r="AE439" s="764"/>
      <c r="AF439" s="414"/>
      <c r="AG439" s="414"/>
      <c r="AH439" s="414"/>
      <c r="AI439" s="414"/>
      <c r="AJ439" s="414"/>
      <c r="AK439" s="414"/>
      <c r="AL439" s="414"/>
      <c r="AM439" s="296">
        <f>SUM(Y439:AL439)</f>
        <v>1</v>
      </c>
    </row>
    <row r="440" spans="2: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60">
        <f>Y439</f>
        <v>0</v>
      </c>
      <c r="Z440" s="760">
        <f>Z439</f>
        <v>1</v>
      </c>
      <c r="AA440" s="760">
        <f t="shared" si="237" ref="AA440:AE440">AA439</f>
        <v>0</v>
      </c>
      <c r="AB440" s="760">
        <f t="shared" si="237"/>
        <v>0</v>
      </c>
      <c r="AC440" s="760">
        <f t="shared" si="237"/>
        <v>0</v>
      </c>
      <c r="AD440" s="760">
        <f t="shared" si="237"/>
        <v>0</v>
      </c>
      <c r="AE440" s="760">
        <f t="shared" si="237"/>
        <v>0</v>
      </c>
      <c r="AF440" s="410">
        <f t="shared" si="238" ref="AF440:AL440">AF439</f>
        <v>0</v>
      </c>
      <c r="AG440" s="410">
        <f t="shared" si="238"/>
        <v>0</v>
      </c>
      <c r="AH440" s="410">
        <f t="shared" si="238"/>
        <v>0</v>
      </c>
      <c r="AI440" s="410">
        <f t="shared" si="238"/>
        <v>0</v>
      </c>
      <c r="AJ440" s="410">
        <f t="shared" si="238"/>
        <v>0</v>
      </c>
      <c r="AK440" s="410">
        <f t="shared" si="238"/>
        <v>0</v>
      </c>
      <c r="AL440" s="410">
        <f t="shared" si="238"/>
        <v>0</v>
      </c>
      <c r="AM440" s="311"/>
    </row>
    <row r="441" spans="2:39" ht="15.5" outlineLevel="1">
      <c r="B441" s="314"/>
      <c r="C441" s="312"/>
      <c r="D441" s="750"/>
      <c r="E441" s="750"/>
      <c r="F441" s="750"/>
      <c r="G441" s="750"/>
      <c r="H441" s="750"/>
      <c r="I441" s="750"/>
      <c r="J441" s="750"/>
      <c r="K441" s="750"/>
      <c r="L441" s="750"/>
      <c r="M441" s="750"/>
      <c r="N441" s="750"/>
      <c r="O441" s="750"/>
      <c r="P441" s="750"/>
      <c r="Q441" s="750"/>
      <c r="R441" s="750"/>
      <c r="S441" s="750"/>
      <c r="T441" s="750"/>
      <c r="U441" s="750"/>
      <c r="V441" s="750"/>
      <c r="W441" s="750"/>
      <c r="X441" s="750"/>
      <c r="Y441" s="765"/>
      <c r="Z441" s="766"/>
      <c r="AA441" s="765"/>
      <c r="AB441" s="765"/>
      <c r="AC441" s="765"/>
      <c r="AD441" s="765"/>
      <c r="AE441" s="765"/>
      <c r="AF441" s="415"/>
      <c r="AG441" s="415"/>
      <c r="AH441" s="415"/>
      <c r="AI441" s="415"/>
      <c r="AJ441" s="415"/>
      <c r="AK441" s="415"/>
      <c r="AL441" s="415"/>
      <c r="AM441" s="313"/>
    </row>
    <row r="442" spans="1:39" ht="15.5" outlineLevel="1">
      <c r="A442" s="503">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764"/>
      <c r="Z442" s="764"/>
      <c r="AA442" s="775"/>
      <c r="AB442" s="764"/>
      <c r="AC442" s="764"/>
      <c r="AD442" s="764"/>
      <c r="AE442" s="764"/>
      <c r="AF442" s="414"/>
      <c r="AG442" s="414"/>
      <c r="AH442" s="414"/>
      <c r="AI442" s="414"/>
      <c r="AJ442" s="414"/>
      <c r="AK442" s="414"/>
      <c r="AL442" s="414"/>
      <c r="AM442" s="296">
        <f>SUM(Y442:AL442)</f>
        <v>0</v>
      </c>
    </row>
    <row r="443" spans="2: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60">
        <f>Y442</f>
        <v>0</v>
      </c>
      <c r="Z443" s="760">
        <f>Z442</f>
        <v>0</v>
      </c>
      <c r="AA443" s="760">
        <f>AA442</f>
        <v>0</v>
      </c>
      <c r="AB443" s="760">
        <f t="shared" si="239" ref="AB443:AE443">AB442</f>
        <v>0</v>
      </c>
      <c r="AC443" s="760">
        <f t="shared" si="239"/>
        <v>0</v>
      </c>
      <c r="AD443" s="760">
        <f t="shared" si="239"/>
        <v>0</v>
      </c>
      <c r="AE443" s="760">
        <f t="shared" si="239"/>
        <v>0</v>
      </c>
      <c r="AF443" s="410">
        <f t="shared" si="240" ref="AF443:AL443">AF442</f>
        <v>0</v>
      </c>
      <c r="AG443" s="410">
        <f t="shared" si="240"/>
        <v>0</v>
      </c>
      <c r="AH443" s="410">
        <f t="shared" si="240"/>
        <v>0</v>
      </c>
      <c r="AI443" s="410">
        <f t="shared" si="240"/>
        <v>0</v>
      </c>
      <c r="AJ443" s="410">
        <f t="shared" si="240"/>
        <v>0</v>
      </c>
      <c r="AK443" s="410">
        <f t="shared" si="240"/>
        <v>0</v>
      </c>
      <c r="AL443" s="410">
        <f t="shared" si="240"/>
        <v>0</v>
      </c>
      <c r="AM443" s="311"/>
    </row>
    <row r="444" spans="2:39" ht="15.5" outlineLevel="1">
      <c r="B444" s="314"/>
      <c r="C444" s="312"/>
      <c r="D444" s="755"/>
      <c r="E444" s="755"/>
      <c r="F444" s="755"/>
      <c r="G444" s="755"/>
      <c r="H444" s="755"/>
      <c r="I444" s="755"/>
      <c r="J444" s="755"/>
      <c r="K444" s="755"/>
      <c r="L444" s="755"/>
      <c r="M444" s="755"/>
      <c r="N444" s="750"/>
      <c r="O444" s="755"/>
      <c r="P444" s="755"/>
      <c r="Q444" s="755"/>
      <c r="R444" s="755"/>
      <c r="S444" s="755"/>
      <c r="T444" s="755"/>
      <c r="U444" s="755"/>
      <c r="V444" s="755"/>
      <c r="W444" s="755"/>
      <c r="X444" s="755"/>
      <c r="Y444" s="765"/>
      <c r="Z444" s="766"/>
      <c r="AA444" s="765"/>
      <c r="AB444" s="765"/>
      <c r="AC444" s="765"/>
      <c r="AD444" s="765"/>
      <c r="AE444" s="765"/>
      <c r="AF444" s="415"/>
      <c r="AG444" s="415"/>
      <c r="AH444" s="415"/>
      <c r="AI444" s="415"/>
      <c r="AJ444" s="415"/>
      <c r="AK444" s="415"/>
      <c r="AL444" s="415"/>
      <c r="AM444" s="313"/>
    </row>
    <row r="445" spans="1:39" ht="15.5" outlineLevel="1">
      <c r="A445" s="503">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764"/>
      <c r="Z445" s="764"/>
      <c r="AA445" s="764"/>
      <c r="AB445" s="764"/>
      <c r="AC445" s="764"/>
      <c r="AD445" s="764"/>
      <c r="AE445" s="764"/>
      <c r="AF445" s="414"/>
      <c r="AG445" s="414"/>
      <c r="AH445" s="414"/>
      <c r="AI445" s="414"/>
      <c r="AJ445" s="414"/>
      <c r="AK445" s="414"/>
      <c r="AL445" s="414"/>
      <c r="AM445" s="296">
        <f>SUM(Y445:AL445)</f>
        <v>0</v>
      </c>
    </row>
    <row r="446" spans="2: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60">
        <f>Y445</f>
        <v>0</v>
      </c>
      <c r="Z446" s="760">
        <f>Z445</f>
        <v>0</v>
      </c>
      <c r="AA446" s="760">
        <f>AA445</f>
        <v>0</v>
      </c>
      <c r="AB446" s="760">
        <f t="shared" si="241" ref="AB446:AE446">AB445</f>
        <v>0</v>
      </c>
      <c r="AC446" s="760">
        <f t="shared" si="241"/>
        <v>0</v>
      </c>
      <c r="AD446" s="760">
        <f t="shared" si="241"/>
        <v>0</v>
      </c>
      <c r="AE446" s="760">
        <f t="shared" si="241"/>
        <v>0</v>
      </c>
      <c r="AF446" s="410">
        <f t="shared" si="242" ref="AF446:AL446">AF445</f>
        <v>0</v>
      </c>
      <c r="AG446" s="410">
        <f t="shared" si="242"/>
        <v>0</v>
      </c>
      <c r="AH446" s="410">
        <f t="shared" si="242"/>
        <v>0</v>
      </c>
      <c r="AI446" s="410">
        <f t="shared" si="242"/>
        <v>0</v>
      </c>
      <c r="AJ446" s="410">
        <f t="shared" si="242"/>
        <v>0</v>
      </c>
      <c r="AK446" s="410">
        <f t="shared" si="242"/>
        <v>0</v>
      </c>
      <c r="AL446" s="410">
        <f t="shared" si="242"/>
        <v>0</v>
      </c>
      <c r="AM446" s="311"/>
    </row>
    <row r="447" spans="2:39" ht="15.5" outlineLevel="1">
      <c r="B447" s="314"/>
      <c r="C447" s="312"/>
      <c r="D447" s="755"/>
      <c r="E447" s="755"/>
      <c r="F447" s="755"/>
      <c r="G447" s="755"/>
      <c r="H447" s="755"/>
      <c r="I447" s="755"/>
      <c r="J447" s="755"/>
      <c r="K447" s="755"/>
      <c r="L447" s="755"/>
      <c r="M447" s="755"/>
      <c r="N447" s="750"/>
      <c r="O447" s="755"/>
      <c r="P447" s="755"/>
      <c r="Q447" s="755"/>
      <c r="R447" s="755"/>
      <c r="S447" s="755"/>
      <c r="T447" s="755"/>
      <c r="U447" s="755"/>
      <c r="V447" s="755"/>
      <c r="W447" s="755"/>
      <c r="X447" s="755"/>
      <c r="Y447" s="765"/>
      <c r="Z447" s="765"/>
      <c r="AA447" s="765"/>
      <c r="AB447" s="765"/>
      <c r="AC447" s="765"/>
      <c r="AD447" s="765"/>
      <c r="AE447" s="765"/>
      <c r="AF447" s="415"/>
      <c r="AG447" s="415"/>
      <c r="AH447" s="415"/>
      <c r="AI447" s="415"/>
      <c r="AJ447" s="415"/>
      <c r="AK447" s="415"/>
      <c r="AL447" s="415"/>
      <c r="AM447" s="313"/>
    </row>
    <row r="448" spans="1:39" ht="15.5" outlineLevel="1">
      <c r="A448" s="503">
        <v>14</v>
      </c>
      <c r="B448" s="314" t="s">
        <v>20</v>
      </c>
      <c r="C448" s="291" t="s">
        <v>25</v>
      </c>
      <c r="D448" s="295">
        <f>'7.  Persistence Report'!AT87</f>
        <v>130547.1401</v>
      </c>
      <c r="E448" s="295">
        <f>'7.  Persistence Report'!AU87</f>
        <v>130547.1401</v>
      </c>
      <c r="F448" s="295">
        <f>'7.  Persistence Report'!AV87</f>
        <v>130547.1401</v>
      </c>
      <c r="G448" s="295">
        <f>'7.  Persistence Report'!AW87</f>
        <v>130547.1401</v>
      </c>
      <c r="H448" s="295">
        <f>'7.  Persistence Report'!AX87</f>
        <v>0</v>
      </c>
      <c r="I448" s="295">
        <f>'7.  Persistence Report'!AY87</f>
        <v>0</v>
      </c>
      <c r="J448" s="295">
        <f>'7.  Persistence Report'!AZ87</f>
        <v>0</v>
      </c>
      <c r="K448" s="295">
        <f>'7.  Persistence Report'!BA87</f>
        <v>0</v>
      </c>
      <c r="L448" s="295">
        <f>'7.  Persistence Report'!BB87</f>
        <v>0</v>
      </c>
      <c r="M448" s="295">
        <f>'7.  Persistence Report'!BC87</f>
        <v>0</v>
      </c>
      <c r="N448" s="295">
        <v>12</v>
      </c>
      <c r="O448" s="295">
        <f>'7.  Persistence Report'!O87</f>
        <v>26.73386103</v>
      </c>
      <c r="P448" s="295">
        <f>'7.  Persistence Report'!P87</f>
        <v>26.73386103</v>
      </c>
      <c r="Q448" s="295">
        <f>'7.  Persistence Report'!Q87</f>
        <v>26.73386103</v>
      </c>
      <c r="R448" s="295">
        <f>'7.  Persistence Report'!R87</f>
        <v>26.73386103</v>
      </c>
      <c r="S448" s="295">
        <f>'7.  Persistence Report'!S87</f>
        <v>0</v>
      </c>
      <c r="T448" s="295">
        <f>'7.  Persistence Report'!T87</f>
        <v>0</v>
      </c>
      <c r="U448" s="295">
        <f>'7.  Persistence Report'!U87</f>
        <v>0</v>
      </c>
      <c r="V448" s="295">
        <f>'7.  Persistence Report'!V87</f>
        <v>0</v>
      </c>
      <c r="W448" s="295">
        <f>'7.  Persistence Report'!W87</f>
        <v>0</v>
      </c>
      <c r="X448" s="295">
        <f>'7.  Persistence Report'!X87</f>
        <v>0</v>
      </c>
      <c r="Y448" s="764"/>
      <c r="Z448" s="764">
        <v>0.5</v>
      </c>
      <c r="AA448" s="775">
        <v>0.5</v>
      </c>
      <c r="AB448" s="764"/>
      <c r="AC448" s="764"/>
      <c r="AD448" s="764"/>
      <c r="AE448" s="764"/>
      <c r="AF448" s="414"/>
      <c r="AG448" s="414"/>
      <c r="AH448" s="414"/>
      <c r="AI448" s="414"/>
      <c r="AJ448" s="414"/>
      <c r="AK448" s="414"/>
      <c r="AL448" s="414"/>
      <c r="AM448" s="296">
        <f>SUM(Y448:AL448)</f>
        <v>1</v>
      </c>
    </row>
    <row r="449" spans="2: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60">
        <f>Y448</f>
        <v>0</v>
      </c>
      <c r="Z449" s="760">
        <f>Z448</f>
        <v>0.5</v>
      </c>
      <c r="AA449" s="760">
        <f t="shared" si="243" ref="AA449:AE449">AA448</f>
        <v>0.5</v>
      </c>
      <c r="AB449" s="760">
        <f t="shared" si="243"/>
        <v>0</v>
      </c>
      <c r="AC449" s="760">
        <f t="shared" si="243"/>
        <v>0</v>
      </c>
      <c r="AD449" s="760">
        <f t="shared" si="243"/>
        <v>0</v>
      </c>
      <c r="AE449" s="760">
        <f t="shared" si="243"/>
        <v>0</v>
      </c>
      <c r="AF449" s="410">
        <f t="shared" si="244" ref="AF449:AL449">AF448</f>
        <v>0</v>
      </c>
      <c r="AG449" s="410">
        <f t="shared" si="244"/>
        <v>0</v>
      </c>
      <c r="AH449" s="410">
        <f t="shared" si="244"/>
        <v>0</v>
      </c>
      <c r="AI449" s="410">
        <f t="shared" si="244"/>
        <v>0</v>
      </c>
      <c r="AJ449" s="410">
        <f t="shared" si="244"/>
        <v>0</v>
      </c>
      <c r="AK449" s="410">
        <f t="shared" si="244"/>
        <v>0</v>
      </c>
      <c r="AL449" s="410">
        <f t="shared" si="244"/>
        <v>0</v>
      </c>
      <c r="AM449" s="311"/>
    </row>
    <row r="450" spans="2:39" ht="15.5" outlineLevel="1">
      <c r="B450" s="314"/>
      <c r="C450" s="312"/>
      <c r="D450" s="755"/>
      <c r="E450" s="755"/>
      <c r="F450" s="755"/>
      <c r="G450" s="755"/>
      <c r="H450" s="755"/>
      <c r="I450" s="755"/>
      <c r="J450" s="755"/>
      <c r="K450" s="755"/>
      <c r="L450" s="755"/>
      <c r="M450" s="755"/>
      <c r="N450" s="750"/>
      <c r="O450" s="755"/>
      <c r="P450" s="755"/>
      <c r="Q450" s="755"/>
      <c r="R450" s="755"/>
      <c r="S450" s="755"/>
      <c r="T450" s="755"/>
      <c r="U450" s="755"/>
      <c r="V450" s="755"/>
      <c r="W450" s="755"/>
      <c r="X450" s="755"/>
      <c r="Y450" s="765"/>
      <c r="Z450" s="766"/>
      <c r="AA450" s="765"/>
      <c r="AB450" s="765"/>
      <c r="AC450" s="765"/>
      <c r="AD450" s="765"/>
      <c r="AE450" s="765"/>
      <c r="AF450" s="415"/>
      <c r="AG450" s="415"/>
      <c r="AH450" s="415"/>
      <c r="AI450" s="415"/>
      <c r="AJ450" s="415"/>
      <c r="AK450" s="415"/>
      <c r="AL450" s="415"/>
      <c r="AM450" s="313"/>
    </row>
    <row r="451" spans="1:39" s="283" customFormat="1" ht="15.5" outlineLevel="1">
      <c r="A451" s="503">
        <v>15</v>
      </c>
      <c r="B451" s="314" t="s">
        <v>485</v>
      </c>
      <c r="C451" s="291" t="s">
        <v>25</v>
      </c>
      <c r="D451" s="295"/>
      <c r="E451" s="295"/>
      <c r="F451" s="295"/>
      <c r="G451" s="295"/>
      <c r="H451" s="295"/>
      <c r="I451" s="295"/>
      <c r="J451" s="295"/>
      <c r="K451" s="295"/>
      <c r="L451" s="295"/>
      <c r="M451" s="295"/>
      <c r="N451" s="750"/>
      <c r="O451" s="295"/>
      <c r="P451" s="295"/>
      <c r="Q451" s="295"/>
      <c r="R451" s="295"/>
      <c r="S451" s="295"/>
      <c r="T451" s="295"/>
      <c r="U451" s="295"/>
      <c r="V451" s="295"/>
      <c r="W451" s="295"/>
      <c r="X451" s="295"/>
      <c r="Y451" s="764"/>
      <c r="Z451" s="764"/>
      <c r="AA451" s="764"/>
      <c r="AB451" s="764"/>
      <c r="AC451" s="764"/>
      <c r="AD451" s="764"/>
      <c r="AE451" s="764"/>
      <c r="AF451" s="414"/>
      <c r="AG451" s="414"/>
      <c r="AH451" s="414"/>
      <c r="AI451" s="414"/>
      <c r="AJ451" s="414"/>
      <c r="AK451" s="414"/>
      <c r="AL451" s="414"/>
      <c r="AM451" s="296">
        <f>SUM(Y451:AL451)</f>
        <v>0</v>
      </c>
    </row>
    <row r="452" spans="1:39" s="283" customFormat="1" ht="15.5" outlineLevel="1">
      <c r="A452" s="503"/>
      <c r="B452" s="314" t="s">
        <v>259</v>
      </c>
      <c r="C452" s="291" t="s">
        <v>163</v>
      </c>
      <c r="D452" s="295"/>
      <c r="E452" s="295"/>
      <c r="F452" s="295"/>
      <c r="G452" s="295"/>
      <c r="H452" s="295"/>
      <c r="I452" s="295"/>
      <c r="J452" s="295"/>
      <c r="K452" s="295"/>
      <c r="L452" s="295"/>
      <c r="M452" s="295"/>
      <c r="N452" s="750"/>
      <c r="O452" s="295"/>
      <c r="P452" s="295"/>
      <c r="Q452" s="295"/>
      <c r="R452" s="295"/>
      <c r="S452" s="295"/>
      <c r="T452" s="295"/>
      <c r="U452" s="295"/>
      <c r="V452" s="295"/>
      <c r="W452" s="295"/>
      <c r="X452" s="295"/>
      <c r="Y452" s="760">
        <f>Y451</f>
        <v>0</v>
      </c>
      <c r="Z452" s="760">
        <f>Z451</f>
        <v>0</v>
      </c>
      <c r="AA452" s="760">
        <f t="shared" si="245" ref="AA452:AE452">AA451</f>
        <v>0</v>
      </c>
      <c r="AB452" s="760">
        <f t="shared" si="245"/>
        <v>0</v>
      </c>
      <c r="AC452" s="760">
        <f t="shared" si="245"/>
        <v>0</v>
      </c>
      <c r="AD452" s="760">
        <f t="shared" si="245"/>
        <v>0</v>
      </c>
      <c r="AE452" s="760">
        <f t="shared" si="245"/>
        <v>0</v>
      </c>
      <c r="AF452" s="410">
        <f t="shared" si="246" ref="AF452:AL452">AF451</f>
        <v>0</v>
      </c>
      <c r="AG452" s="410">
        <f t="shared" si="246"/>
        <v>0</v>
      </c>
      <c r="AH452" s="410">
        <f t="shared" si="246"/>
        <v>0</v>
      </c>
      <c r="AI452" s="410">
        <f t="shared" si="246"/>
        <v>0</v>
      </c>
      <c r="AJ452" s="410">
        <f t="shared" si="246"/>
        <v>0</v>
      </c>
      <c r="AK452" s="410">
        <f t="shared" si="246"/>
        <v>0</v>
      </c>
      <c r="AL452" s="410">
        <f t="shared" si="246"/>
        <v>0</v>
      </c>
      <c r="AM452" s="311"/>
    </row>
    <row r="453" spans="1:39" s="283" customFormat="1" ht="15.5" outlineLevel="1">
      <c r="A453" s="503"/>
      <c r="B453" s="314"/>
      <c r="C453" s="312"/>
      <c r="D453" s="755"/>
      <c r="E453" s="755"/>
      <c r="F453" s="755"/>
      <c r="G453" s="755"/>
      <c r="H453" s="755"/>
      <c r="I453" s="755"/>
      <c r="J453" s="755"/>
      <c r="K453" s="755"/>
      <c r="L453" s="755"/>
      <c r="M453" s="755"/>
      <c r="N453" s="750"/>
      <c r="O453" s="755"/>
      <c r="P453" s="755"/>
      <c r="Q453" s="755"/>
      <c r="R453" s="755"/>
      <c r="S453" s="755"/>
      <c r="T453" s="755"/>
      <c r="U453" s="755"/>
      <c r="V453" s="755"/>
      <c r="W453" s="755"/>
      <c r="X453" s="755"/>
      <c r="Y453" s="767"/>
      <c r="Z453" s="765"/>
      <c r="AA453" s="765"/>
      <c r="AB453" s="765"/>
      <c r="AC453" s="765"/>
      <c r="AD453" s="765"/>
      <c r="AE453" s="765"/>
      <c r="AF453" s="415"/>
      <c r="AG453" s="415"/>
      <c r="AH453" s="415"/>
      <c r="AI453" s="415"/>
      <c r="AJ453" s="415"/>
      <c r="AK453" s="415"/>
      <c r="AL453" s="415"/>
      <c r="AM453" s="313"/>
    </row>
    <row r="454" spans="1:39" s="283" customFormat="1" ht="31" outlineLevel="1">
      <c r="A454" s="503">
        <v>16</v>
      </c>
      <c r="B454" s="314" t="s">
        <v>486</v>
      </c>
      <c r="C454" s="291" t="s">
        <v>25</v>
      </c>
      <c r="D454" s="295"/>
      <c r="E454" s="295"/>
      <c r="F454" s="295"/>
      <c r="G454" s="295"/>
      <c r="H454" s="295"/>
      <c r="I454" s="295"/>
      <c r="J454" s="295"/>
      <c r="K454" s="295"/>
      <c r="L454" s="295"/>
      <c r="M454" s="295"/>
      <c r="N454" s="750"/>
      <c r="O454" s="295"/>
      <c r="P454" s="295"/>
      <c r="Q454" s="295"/>
      <c r="R454" s="295"/>
      <c r="S454" s="295"/>
      <c r="T454" s="295"/>
      <c r="U454" s="295"/>
      <c r="V454" s="295"/>
      <c r="W454" s="295"/>
      <c r="X454" s="295"/>
      <c r="Y454" s="764"/>
      <c r="Z454" s="764"/>
      <c r="AA454" s="764"/>
      <c r="AB454" s="764"/>
      <c r="AC454" s="764"/>
      <c r="AD454" s="764"/>
      <c r="AE454" s="764"/>
      <c r="AF454" s="414"/>
      <c r="AG454" s="414"/>
      <c r="AH454" s="414"/>
      <c r="AI454" s="414"/>
      <c r="AJ454" s="414"/>
      <c r="AK454" s="414"/>
      <c r="AL454" s="414"/>
      <c r="AM454" s="296">
        <f>SUM(Y454:AL454)</f>
        <v>0</v>
      </c>
    </row>
    <row r="455" spans="1:39" s="283" customFormat="1" ht="15.5" outlineLevel="1">
      <c r="A455" s="503"/>
      <c r="B455" s="314" t="s">
        <v>259</v>
      </c>
      <c r="C455" s="291" t="s">
        <v>163</v>
      </c>
      <c r="D455" s="295"/>
      <c r="E455" s="295"/>
      <c r="F455" s="295"/>
      <c r="G455" s="295"/>
      <c r="H455" s="295"/>
      <c r="I455" s="295"/>
      <c r="J455" s="295"/>
      <c r="K455" s="295"/>
      <c r="L455" s="295"/>
      <c r="M455" s="295"/>
      <c r="N455" s="750"/>
      <c r="O455" s="295"/>
      <c r="P455" s="295"/>
      <c r="Q455" s="295"/>
      <c r="R455" s="295"/>
      <c r="S455" s="295"/>
      <c r="T455" s="295"/>
      <c r="U455" s="295"/>
      <c r="V455" s="295"/>
      <c r="W455" s="295"/>
      <c r="X455" s="295"/>
      <c r="Y455" s="760">
        <f>Y454</f>
        <v>0</v>
      </c>
      <c r="Z455" s="760">
        <f>Z454</f>
        <v>0</v>
      </c>
      <c r="AA455" s="760">
        <f t="shared" si="247" ref="AA455:AE455">AA454</f>
        <v>0</v>
      </c>
      <c r="AB455" s="760">
        <f t="shared" si="247"/>
        <v>0</v>
      </c>
      <c r="AC455" s="760">
        <f t="shared" si="247"/>
        <v>0</v>
      </c>
      <c r="AD455" s="760">
        <f t="shared" si="247"/>
        <v>0</v>
      </c>
      <c r="AE455" s="760">
        <f t="shared" si="247"/>
        <v>0</v>
      </c>
      <c r="AF455" s="410">
        <f t="shared" si="248" ref="AF455:AL455">AF454</f>
        <v>0</v>
      </c>
      <c r="AG455" s="410">
        <f t="shared" si="248"/>
        <v>0</v>
      </c>
      <c r="AH455" s="410">
        <f t="shared" si="248"/>
        <v>0</v>
      </c>
      <c r="AI455" s="410">
        <f t="shared" si="248"/>
        <v>0</v>
      </c>
      <c r="AJ455" s="410">
        <f t="shared" si="248"/>
        <v>0</v>
      </c>
      <c r="AK455" s="410">
        <f t="shared" si="248"/>
        <v>0</v>
      </c>
      <c r="AL455" s="410">
        <f t="shared" si="248"/>
        <v>0</v>
      </c>
      <c r="AM455" s="311"/>
    </row>
    <row r="456" spans="1:39" s="283" customFormat="1" ht="15.5" outlineLevel="1">
      <c r="A456" s="503"/>
      <c r="B456" s="314"/>
      <c r="C456" s="312"/>
      <c r="D456" s="755"/>
      <c r="E456" s="755"/>
      <c r="F456" s="755"/>
      <c r="G456" s="755"/>
      <c r="H456" s="755"/>
      <c r="I456" s="755"/>
      <c r="J456" s="755"/>
      <c r="K456" s="755"/>
      <c r="L456" s="755"/>
      <c r="M456" s="755"/>
      <c r="N456" s="750"/>
      <c r="O456" s="755"/>
      <c r="P456" s="755"/>
      <c r="Q456" s="755"/>
      <c r="R456" s="755"/>
      <c r="S456" s="755"/>
      <c r="T456" s="755"/>
      <c r="U456" s="755"/>
      <c r="V456" s="755"/>
      <c r="W456" s="755"/>
      <c r="X456" s="755"/>
      <c r="Y456" s="767"/>
      <c r="Z456" s="765"/>
      <c r="AA456" s="765"/>
      <c r="AB456" s="765"/>
      <c r="AC456" s="765"/>
      <c r="AD456" s="765"/>
      <c r="AE456" s="765"/>
      <c r="AF456" s="415"/>
      <c r="AG456" s="415"/>
      <c r="AH456" s="415"/>
      <c r="AI456" s="415"/>
      <c r="AJ456" s="415"/>
      <c r="AK456" s="415"/>
      <c r="AL456" s="415"/>
      <c r="AM456" s="313"/>
    </row>
    <row r="457" spans="1:39" ht="15.5" outlineLevel="1">
      <c r="A457" s="503">
        <v>17</v>
      </c>
      <c r="B457" s="314" t="s">
        <v>9</v>
      </c>
      <c r="C457" s="291" t="s">
        <v>25</v>
      </c>
      <c r="D457" s="295"/>
      <c r="E457" s="295"/>
      <c r="F457" s="295"/>
      <c r="G457" s="295"/>
      <c r="H457" s="295"/>
      <c r="I457" s="295"/>
      <c r="J457" s="295"/>
      <c r="K457" s="295"/>
      <c r="L457" s="295"/>
      <c r="M457" s="295"/>
      <c r="N457" s="750"/>
      <c r="O457" s="295"/>
      <c r="P457" s="295"/>
      <c r="Q457" s="295"/>
      <c r="R457" s="295"/>
      <c r="S457" s="295"/>
      <c r="T457" s="295"/>
      <c r="U457" s="295"/>
      <c r="V457" s="295"/>
      <c r="W457" s="295"/>
      <c r="X457" s="295"/>
      <c r="Y457" s="764"/>
      <c r="Z457" s="764"/>
      <c r="AA457" s="764"/>
      <c r="AB457" s="764"/>
      <c r="AC457" s="764"/>
      <c r="AD457" s="764"/>
      <c r="AE457" s="764"/>
      <c r="AF457" s="414"/>
      <c r="AG457" s="414"/>
      <c r="AH457" s="414"/>
      <c r="AI457" s="414"/>
      <c r="AJ457" s="414"/>
      <c r="AK457" s="414"/>
      <c r="AL457" s="414"/>
      <c r="AM457" s="296">
        <f>SUM(Y457:AL457)</f>
        <v>0</v>
      </c>
    </row>
    <row r="458" spans="2:39" ht="15.5" outlineLevel="1">
      <c r="B458" s="294" t="s">
        <v>259</v>
      </c>
      <c r="C458" s="291" t="s">
        <v>163</v>
      </c>
      <c r="D458" s="295"/>
      <c r="E458" s="295"/>
      <c r="F458" s="295"/>
      <c r="G458" s="295"/>
      <c r="H458" s="295"/>
      <c r="I458" s="295"/>
      <c r="J458" s="295"/>
      <c r="K458" s="295"/>
      <c r="L458" s="295"/>
      <c r="M458" s="295"/>
      <c r="N458" s="750"/>
      <c r="O458" s="295"/>
      <c r="P458" s="295"/>
      <c r="Q458" s="295"/>
      <c r="R458" s="295"/>
      <c r="S458" s="295"/>
      <c r="T458" s="295"/>
      <c r="U458" s="295"/>
      <c r="V458" s="295"/>
      <c r="W458" s="295"/>
      <c r="X458" s="295"/>
      <c r="Y458" s="760">
        <f>Y457</f>
        <v>0</v>
      </c>
      <c r="Z458" s="760">
        <f>Z457</f>
        <v>0</v>
      </c>
      <c r="AA458" s="760">
        <f t="shared" si="249" ref="AA458:AE458">AA457</f>
        <v>0</v>
      </c>
      <c r="AB458" s="760">
        <f t="shared" si="249"/>
        <v>0</v>
      </c>
      <c r="AC458" s="760">
        <f t="shared" si="249"/>
        <v>0</v>
      </c>
      <c r="AD458" s="760">
        <f t="shared" si="249"/>
        <v>0</v>
      </c>
      <c r="AE458" s="760">
        <f t="shared" si="249"/>
        <v>0</v>
      </c>
      <c r="AF458" s="410">
        <f t="shared" si="250" ref="AF458:AL458">AF457</f>
        <v>0</v>
      </c>
      <c r="AG458" s="410">
        <f t="shared" si="250"/>
        <v>0</v>
      </c>
      <c r="AH458" s="410">
        <f t="shared" si="250"/>
        <v>0</v>
      </c>
      <c r="AI458" s="410">
        <f t="shared" si="250"/>
        <v>0</v>
      </c>
      <c r="AJ458" s="410">
        <f t="shared" si="250"/>
        <v>0</v>
      </c>
      <c r="AK458" s="410">
        <f t="shared" si="250"/>
        <v>0</v>
      </c>
      <c r="AL458" s="410">
        <f t="shared" si="250"/>
        <v>0</v>
      </c>
      <c r="AM458" s="311"/>
    </row>
    <row r="459" spans="2:39" ht="15.5" outlineLevel="1">
      <c r="B459" s="315"/>
      <c r="C459" s="305"/>
      <c r="D459" s="750"/>
      <c r="E459" s="750"/>
      <c r="F459" s="750"/>
      <c r="G459" s="750"/>
      <c r="H459" s="750"/>
      <c r="I459" s="750"/>
      <c r="J459" s="750"/>
      <c r="K459" s="750"/>
      <c r="L459" s="750"/>
      <c r="M459" s="750"/>
      <c r="N459" s="750"/>
      <c r="O459" s="750"/>
      <c r="P459" s="750"/>
      <c r="Q459" s="750"/>
      <c r="R459" s="750"/>
      <c r="S459" s="750"/>
      <c r="T459" s="750"/>
      <c r="U459" s="750"/>
      <c r="V459" s="750"/>
      <c r="W459" s="750"/>
      <c r="X459" s="750"/>
      <c r="Y459" s="768"/>
      <c r="Z459" s="769"/>
      <c r="AA459" s="769"/>
      <c r="AB459" s="769"/>
      <c r="AC459" s="769"/>
      <c r="AD459" s="769"/>
      <c r="AE459" s="769"/>
      <c r="AF459" s="417"/>
      <c r="AG459" s="417"/>
      <c r="AH459" s="417"/>
      <c r="AI459" s="417"/>
      <c r="AJ459" s="417"/>
      <c r="AK459" s="417"/>
      <c r="AL459" s="417"/>
      <c r="AM459" s="317"/>
    </row>
    <row r="460" spans="1:39" ht="15.5" outlineLevel="1">
      <c r="A460" s="504"/>
      <c r="B460" s="288" t="s">
        <v>10</v>
      </c>
      <c r="C460" s="289"/>
      <c r="D460" s="754"/>
      <c r="E460" s="754"/>
      <c r="F460" s="754"/>
      <c r="G460" s="754"/>
      <c r="H460" s="754"/>
      <c r="I460" s="754"/>
      <c r="J460" s="754"/>
      <c r="K460" s="754"/>
      <c r="L460" s="754"/>
      <c r="M460" s="754"/>
      <c r="N460" s="756"/>
      <c r="O460" s="754"/>
      <c r="P460" s="754"/>
      <c r="Q460" s="754"/>
      <c r="R460" s="754"/>
      <c r="S460" s="754"/>
      <c r="T460" s="754"/>
      <c r="U460" s="754"/>
      <c r="V460" s="754"/>
      <c r="W460" s="754"/>
      <c r="X460" s="754"/>
      <c r="Y460" s="763"/>
      <c r="Z460" s="763"/>
      <c r="AA460" s="763"/>
      <c r="AB460" s="763"/>
      <c r="AC460" s="763"/>
      <c r="AD460" s="763"/>
      <c r="AE460" s="763"/>
      <c r="AF460" s="413"/>
      <c r="AG460" s="413"/>
      <c r="AH460" s="413"/>
      <c r="AI460" s="413"/>
      <c r="AJ460" s="413"/>
      <c r="AK460" s="413"/>
      <c r="AL460" s="413"/>
      <c r="AM460" s="292"/>
    </row>
    <row r="461" spans="1:39" ht="15.5" outlineLevel="1">
      <c r="A461" s="503">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76"/>
      <c r="Z461" s="764"/>
      <c r="AA461" s="764"/>
      <c r="AB461" s="764"/>
      <c r="AC461" s="764"/>
      <c r="AD461" s="764"/>
      <c r="AE461" s="764"/>
      <c r="AF461" s="414"/>
      <c r="AG461" s="414"/>
      <c r="AH461" s="414"/>
      <c r="AI461" s="414"/>
      <c r="AJ461" s="414"/>
      <c r="AK461" s="414"/>
      <c r="AL461" s="414"/>
      <c r="AM461" s="296">
        <f>SUM(Y461:AL461)</f>
        <v>0</v>
      </c>
    </row>
    <row r="462" spans="2: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60">
        <f>Y461</f>
        <v>0</v>
      </c>
      <c r="Z462" s="760">
        <f>Z461</f>
        <v>0</v>
      </c>
      <c r="AA462" s="760">
        <f t="shared" si="251" ref="AA462:AE462">AA461</f>
        <v>0</v>
      </c>
      <c r="AB462" s="760">
        <f t="shared" si="251"/>
        <v>0</v>
      </c>
      <c r="AC462" s="760">
        <f t="shared" si="251"/>
        <v>0</v>
      </c>
      <c r="AD462" s="760">
        <f t="shared" si="251"/>
        <v>0</v>
      </c>
      <c r="AE462" s="760">
        <f t="shared" si="251"/>
        <v>0</v>
      </c>
      <c r="AF462" s="410">
        <f t="shared" si="252" ref="AF462:AL462">AF461</f>
        <v>0</v>
      </c>
      <c r="AG462" s="410">
        <f t="shared" si="252"/>
        <v>0</v>
      </c>
      <c r="AH462" s="410">
        <f t="shared" si="252"/>
        <v>0</v>
      </c>
      <c r="AI462" s="410">
        <f t="shared" si="252"/>
        <v>0</v>
      </c>
      <c r="AJ462" s="410">
        <f t="shared" si="252"/>
        <v>0</v>
      </c>
      <c r="AK462" s="410">
        <f t="shared" si="252"/>
        <v>0</v>
      </c>
      <c r="AL462" s="410">
        <f t="shared" si="252"/>
        <v>0</v>
      </c>
      <c r="AM462" s="297"/>
    </row>
    <row r="463" spans="1:39" ht="15.5" outlineLevel="1">
      <c r="A463" s="506"/>
      <c r="B463" s="315"/>
      <c r="C463" s="305"/>
      <c r="D463" s="750"/>
      <c r="E463" s="750"/>
      <c r="F463" s="750"/>
      <c r="G463" s="750"/>
      <c r="H463" s="750"/>
      <c r="I463" s="750"/>
      <c r="J463" s="750"/>
      <c r="K463" s="750"/>
      <c r="L463" s="750"/>
      <c r="M463" s="750"/>
      <c r="N463" s="750"/>
      <c r="O463" s="750"/>
      <c r="P463" s="750"/>
      <c r="Q463" s="750"/>
      <c r="R463" s="750"/>
      <c r="S463" s="750"/>
      <c r="T463" s="750"/>
      <c r="U463" s="750"/>
      <c r="V463" s="750"/>
      <c r="W463" s="750"/>
      <c r="X463" s="750"/>
      <c r="Y463" s="761"/>
      <c r="Z463" s="770"/>
      <c r="AA463" s="770"/>
      <c r="AB463" s="770"/>
      <c r="AC463" s="770"/>
      <c r="AD463" s="770"/>
      <c r="AE463" s="770"/>
      <c r="AF463" s="418"/>
      <c r="AG463" s="418"/>
      <c r="AH463" s="418"/>
      <c r="AI463" s="418"/>
      <c r="AJ463" s="418"/>
      <c r="AK463" s="418"/>
      <c r="AL463" s="418"/>
      <c r="AM463" s="306"/>
    </row>
    <row r="464" spans="1:39" ht="15.5" outlineLevel="1">
      <c r="A464" s="503">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59"/>
      <c r="Z464" s="764"/>
      <c r="AA464" s="764"/>
      <c r="AB464" s="764"/>
      <c r="AC464" s="764"/>
      <c r="AD464" s="764"/>
      <c r="AE464" s="764"/>
      <c r="AF464" s="414"/>
      <c r="AG464" s="414"/>
      <c r="AH464" s="414"/>
      <c r="AI464" s="414"/>
      <c r="AJ464" s="414"/>
      <c r="AK464" s="414"/>
      <c r="AL464" s="414"/>
      <c r="AM464" s="296">
        <f>SUM(Y464:AL464)</f>
        <v>0</v>
      </c>
    </row>
    <row r="465" spans="2: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60">
        <f>Y464</f>
        <v>0</v>
      </c>
      <c r="Z465" s="760">
        <f>Z464</f>
        <v>0</v>
      </c>
      <c r="AA465" s="760">
        <f t="shared" si="253" ref="AA465:AE465">AA464</f>
        <v>0</v>
      </c>
      <c r="AB465" s="760">
        <f t="shared" si="253"/>
        <v>0</v>
      </c>
      <c r="AC465" s="760">
        <f t="shared" si="253"/>
        <v>0</v>
      </c>
      <c r="AD465" s="760">
        <f t="shared" si="253"/>
        <v>0</v>
      </c>
      <c r="AE465" s="760">
        <f t="shared" si="253"/>
        <v>0</v>
      </c>
      <c r="AF465" s="410">
        <f t="shared" si="254" ref="AF465:AL465">AF464</f>
        <v>0</v>
      </c>
      <c r="AG465" s="410">
        <f t="shared" si="254"/>
        <v>0</v>
      </c>
      <c r="AH465" s="410">
        <f t="shared" si="254"/>
        <v>0</v>
      </c>
      <c r="AI465" s="410">
        <f t="shared" si="254"/>
        <v>0</v>
      </c>
      <c r="AJ465" s="410">
        <f t="shared" si="254"/>
        <v>0</v>
      </c>
      <c r="AK465" s="410">
        <f t="shared" si="254"/>
        <v>0</v>
      </c>
      <c r="AL465" s="410">
        <f t="shared" si="254"/>
        <v>0</v>
      </c>
      <c r="AM465" s="297"/>
    </row>
    <row r="466" spans="2:39" ht="15.5" outlineLevel="1">
      <c r="B466" s="315"/>
      <c r="C466" s="305"/>
      <c r="D466" s="750"/>
      <c r="E466" s="750"/>
      <c r="F466" s="750"/>
      <c r="G466" s="750"/>
      <c r="H466" s="750"/>
      <c r="I466" s="750"/>
      <c r="J466" s="750"/>
      <c r="K466" s="750"/>
      <c r="L466" s="750"/>
      <c r="M466" s="750"/>
      <c r="N466" s="750"/>
      <c r="O466" s="750"/>
      <c r="P466" s="750"/>
      <c r="Q466" s="750"/>
      <c r="R466" s="750"/>
      <c r="S466" s="750"/>
      <c r="T466" s="750"/>
      <c r="U466" s="750"/>
      <c r="V466" s="750"/>
      <c r="W466" s="750"/>
      <c r="X466" s="750"/>
      <c r="Y466" s="771"/>
      <c r="Z466" s="771"/>
      <c r="AA466" s="761"/>
      <c r="AB466" s="761"/>
      <c r="AC466" s="761"/>
      <c r="AD466" s="761"/>
      <c r="AE466" s="761"/>
      <c r="AF466" s="411"/>
      <c r="AG466" s="411"/>
      <c r="AH466" s="411"/>
      <c r="AI466" s="411"/>
      <c r="AJ466" s="411"/>
      <c r="AK466" s="411"/>
      <c r="AL466" s="411"/>
      <c r="AM466" s="306"/>
    </row>
    <row r="467" spans="1:39" ht="15.5" outlineLevel="1">
      <c r="A467" s="503">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759"/>
      <c r="Z467" s="764"/>
      <c r="AA467" s="764"/>
      <c r="AB467" s="764"/>
      <c r="AC467" s="764"/>
      <c r="AD467" s="764"/>
      <c r="AE467" s="764"/>
      <c r="AF467" s="414"/>
      <c r="AG467" s="414"/>
      <c r="AH467" s="414"/>
      <c r="AI467" s="414"/>
      <c r="AJ467" s="414"/>
      <c r="AK467" s="414"/>
      <c r="AL467" s="414"/>
      <c r="AM467" s="296">
        <f>SUM(Y467:AL467)</f>
        <v>0</v>
      </c>
    </row>
    <row r="468" spans="2: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60">
        <f>Y467</f>
        <v>0</v>
      </c>
      <c r="Z468" s="760">
        <f>Z467</f>
        <v>0</v>
      </c>
      <c r="AA468" s="760">
        <f t="shared" si="255" ref="AA468:AE468">AA467</f>
        <v>0</v>
      </c>
      <c r="AB468" s="760">
        <f t="shared" si="255"/>
        <v>0</v>
      </c>
      <c r="AC468" s="760">
        <f t="shared" si="255"/>
        <v>0</v>
      </c>
      <c r="AD468" s="760">
        <f t="shared" si="255"/>
        <v>0</v>
      </c>
      <c r="AE468" s="760">
        <f t="shared" si="255"/>
        <v>0</v>
      </c>
      <c r="AF468" s="410">
        <f t="shared" si="256" ref="AF468:AL468">AF467</f>
        <v>0</v>
      </c>
      <c r="AG468" s="410">
        <f t="shared" si="256"/>
        <v>0</v>
      </c>
      <c r="AH468" s="410">
        <f t="shared" si="256"/>
        <v>0</v>
      </c>
      <c r="AI468" s="410">
        <f t="shared" si="256"/>
        <v>0</v>
      </c>
      <c r="AJ468" s="410">
        <f t="shared" si="256"/>
        <v>0</v>
      </c>
      <c r="AK468" s="410">
        <f t="shared" si="256"/>
        <v>0</v>
      </c>
      <c r="AL468" s="410">
        <f t="shared" si="256"/>
        <v>0</v>
      </c>
      <c r="AM468" s="306"/>
    </row>
    <row r="469" spans="2:39" ht="15.5" outlineLevel="1">
      <c r="B469" s="315"/>
      <c r="C469" s="305"/>
      <c r="D469" s="750"/>
      <c r="E469" s="750"/>
      <c r="F469" s="750"/>
      <c r="G469" s="750"/>
      <c r="H469" s="750"/>
      <c r="I469" s="750"/>
      <c r="J469" s="750"/>
      <c r="K469" s="750"/>
      <c r="L469" s="750"/>
      <c r="M469" s="750"/>
      <c r="N469" s="757"/>
      <c r="O469" s="750"/>
      <c r="P469" s="750"/>
      <c r="Q469" s="750"/>
      <c r="R469" s="750"/>
      <c r="S469" s="750"/>
      <c r="T469" s="750"/>
      <c r="U469" s="750"/>
      <c r="V469" s="750"/>
      <c r="W469" s="750"/>
      <c r="X469" s="750"/>
      <c r="Y469" s="761"/>
      <c r="Z469" s="761"/>
      <c r="AA469" s="761"/>
      <c r="AB469" s="761"/>
      <c r="AC469" s="761"/>
      <c r="AD469" s="761"/>
      <c r="AE469" s="761"/>
      <c r="AF469" s="411"/>
      <c r="AG469" s="411"/>
      <c r="AH469" s="411"/>
      <c r="AI469" s="411"/>
      <c r="AJ469" s="411"/>
      <c r="AK469" s="411"/>
      <c r="AL469" s="411"/>
      <c r="AM469" s="306"/>
    </row>
    <row r="470" spans="1:39" ht="15.5" outlineLevel="1">
      <c r="A470" s="503">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59"/>
      <c r="Z470" s="764"/>
      <c r="AA470" s="764"/>
      <c r="AB470" s="764"/>
      <c r="AC470" s="764"/>
      <c r="AD470" s="764"/>
      <c r="AE470" s="764"/>
      <c r="AF470" s="414"/>
      <c r="AG470" s="414"/>
      <c r="AH470" s="414"/>
      <c r="AI470" s="414"/>
      <c r="AJ470" s="414"/>
      <c r="AK470" s="414"/>
      <c r="AL470" s="414"/>
      <c r="AM470" s="296">
        <f>SUM(Y470:AL470)</f>
        <v>0</v>
      </c>
    </row>
    <row r="471" spans="2: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60">
        <f>Y470</f>
        <v>0</v>
      </c>
      <c r="Z471" s="760">
        <f>Z470</f>
        <v>0</v>
      </c>
      <c r="AA471" s="760">
        <f t="shared" si="257" ref="AA471:AE471">AA470</f>
        <v>0</v>
      </c>
      <c r="AB471" s="760">
        <f t="shared" si="257"/>
        <v>0</v>
      </c>
      <c r="AC471" s="760">
        <f t="shared" si="257"/>
        <v>0</v>
      </c>
      <c r="AD471" s="760">
        <f t="shared" si="257"/>
        <v>0</v>
      </c>
      <c r="AE471" s="760">
        <f t="shared" si="257"/>
        <v>0</v>
      </c>
      <c r="AF471" s="410">
        <f t="shared" si="258" ref="AF471:AL471">AF470</f>
        <v>0</v>
      </c>
      <c r="AG471" s="410">
        <f t="shared" si="258"/>
        <v>0</v>
      </c>
      <c r="AH471" s="410">
        <f t="shared" si="258"/>
        <v>0</v>
      </c>
      <c r="AI471" s="410">
        <f t="shared" si="258"/>
        <v>0</v>
      </c>
      <c r="AJ471" s="410">
        <f t="shared" si="258"/>
        <v>0</v>
      </c>
      <c r="AK471" s="410">
        <f t="shared" si="258"/>
        <v>0</v>
      </c>
      <c r="AL471" s="410">
        <f t="shared" si="258"/>
        <v>0</v>
      </c>
      <c r="AM471" s="297"/>
    </row>
    <row r="472" spans="2:39" ht="15.5" outlineLevel="1">
      <c r="B472" s="315"/>
      <c r="C472" s="305"/>
      <c r="D472" s="750"/>
      <c r="E472" s="750"/>
      <c r="F472" s="750"/>
      <c r="G472" s="750"/>
      <c r="H472" s="750"/>
      <c r="I472" s="750"/>
      <c r="J472" s="750"/>
      <c r="K472" s="750"/>
      <c r="L472" s="750"/>
      <c r="M472" s="750"/>
      <c r="N472" s="750"/>
      <c r="O472" s="750"/>
      <c r="P472" s="750"/>
      <c r="Q472" s="750"/>
      <c r="R472" s="750"/>
      <c r="S472" s="750"/>
      <c r="T472" s="750"/>
      <c r="U472" s="750"/>
      <c r="V472" s="750"/>
      <c r="W472" s="750"/>
      <c r="X472" s="750"/>
      <c r="Y472" s="771"/>
      <c r="Z472" s="761"/>
      <c r="AA472" s="761"/>
      <c r="AB472" s="761"/>
      <c r="AC472" s="761"/>
      <c r="AD472" s="761"/>
      <c r="AE472" s="761"/>
      <c r="AF472" s="411"/>
      <c r="AG472" s="411"/>
      <c r="AH472" s="411"/>
      <c r="AI472" s="411"/>
      <c r="AJ472" s="411"/>
      <c r="AK472" s="411"/>
      <c r="AL472" s="411"/>
      <c r="AM472" s="306"/>
    </row>
    <row r="473" spans="1:39" ht="15.5" outlineLevel="1">
      <c r="A473" s="503">
        <v>22</v>
      </c>
      <c r="B473" s="315" t="s">
        <v>9</v>
      </c>
      <c r="C473" s="291" t="s">
        <v>25</v>
      </c>
      <c r="D473" s="295"/>
      <c r="E473" s="295"/>
      <c r="F473" s="295"/>
      <c r="G473" s="295"/>
      <c r="H473" s="295"/>
      <c r="I473" s="295"/>
      <c r="J473" s="295"/>
      <c r="K473" s="295"/>
      <c r="L473" s="295"/>
      <c r="M473" s="295"/>
      <c r="N473" s="750"/>
      <c r="O473" s="295"/>
      <c r="P473" s="295"/>
      <c r="Q473" s="295"/>
      <c r="R473" s="295"/>
      <c r="S473" s="295"/>
      <c r="T473" s="295"/>
      <c r="U473" s="295"/>
      <c r="V473" s="295"/>
      <c r="W473" s="295"/>
      <c r="X473" s="295"/>
      <c r="Y473" s="759"/>
      <c r="Z473" s="764"/>
      <c r="AA473" s="764"/>
      <c r="AB473" s="764"/>
      <c r="AC473" s="764"/>
      <c r="AD473" s="764"/>
      <c r="AE473" s="764"/>
      <c r="AF473" s="414"/>
      <c r="AG473" s="414"/>
      <c r="AH473" s="414"/>
      <c r="AI473" s="414"/>
      <c r="AJ473" s="414"/>
      <c r="AK473" s="414"/>
      <c r="AL473" s="414"/>
      <c r="AM473" s="296">
        <f>SUM(Y473:AL473)</f>
        <v>0</v>
      </c>
    </row>
    <row r="474" spans="2:39" ht="15.5" outlineLevel="1">
      <c r="B474" s="294" t="s">
        <v>259</v>
      </c>
      <c r="C474" s="291" t="s">
        <v>163</v>
      </c>
      <c r="D474" s="295"/>
      <c r="E474" s="295"/>
      <c r="F474" s="295"/>
      <c r="G474" s="295"/>
      <c r="H474" s="295"/>
      <c r="I474" s="295"/>
      <c r="J474" s="295"/>
      <c r="K474" s="295"/>
      <c r="L474" s="295"/>
      <c r="M474" s="295"/>
      <c r="N474" s="750"/>
      <c r="O474" s="295"/>
      <c r="P474" s="295"/>
      <c r="Q474" s="295"/>
      <c r="R474" s="295"/>
      <c r="S474" s="295"/>
      <c r="T474" s="295"/>
      <c r="U474" s="295"/>
      <c r="V474" s="295"/>
      <c r="W474" s="295"/>
      <c r="X474" s="295"/>
      <c r="Y474" s="760">
        <f>Y473</f>
        <v>0</v>
      </c>
      <c r="Z474" s="760">
        <f>Z473</f>
        <v>0</v>
      </c>
      <c r="AA474" s="760">
        <f t="shared" si="259" ref="AA474:AE474">AA473</f>
        <v>0</v>
      </c>
      <c r="AB474" s="760">
        <f t="shared" si="259"/>
        <v>0</v>
      </c>
      <c r="AC474" s="760">
        <f t="shared" si="259"/>
        <v>0</v>
      </c>
      <c r="AD474" s="760">
        <f t="shared" si="259"/>
        <v>0</v>
      </c>
      <c r="AE474" s="760">
        <f t="shared" si="259"/>
        <v>0</v>
      </c>
      <c r="AF474" s="410">
        <f t="shared" si="260" ref="AF474:AL474">AF473</f>
        <v>0</v>
      </c>
      <c r="AG474" s="410">
        <f t="shared" si="260"/>
        <v>0</v>
      </c>
      <c r="AH474" s="410">
        <f t="shared" si="260"/>
        <v>0</v>
      </c>
      <c r="AI474" s="410">
        <f t="shared" si="260"/>
        <v>0</v>
      </c>
      <c r="AJ474" s="410">
        <f t="shared" si="260"/>
        <v>0</v>
      </c>
      <c r="AK474" s="410">
        <f t="shared" si="260"/>
        <v>0</v>
      </c>
      <c r="AL474" s="410">
        <f t="shared" si="260"/>
        <v>0</v>
      </c>
      <c r="AM474" s="306"/>
    </row>
    <row r="475" spans="2:39" ht="15.5" outlineLevel="1">
      <c r="B475" s="315"/>
      <c r="C475" s="305"/>
      <c r="D475" s="750"/>
      <c r="E475" s="750"/>
      <c r="F475" s="750"/>
      <c r="G475" s="750"/>
      <c r="H475" s="750"/>
      <c r="I475" s="750"/>
      <c r="J475" s="750"/>
      <c r="K475" s="750"/>
      <c r="L475" s="750"/>
      <c r="M475" s="750"/>
      <c r="N475" s="750"/>
      <c r="O475" s="750"/>
      <c r="P475" s="750"/>
      <c r="Q475" s="750"/>
      <c r="R475" s="750"/>
      <c r="S475" s="750"/>
      <c r="T475" s="750"/>
      <c r="U475" s="750"/>
      <c r="V475" s="750"/>
      <c r="W475" s="750"/>
      <c r="X475" s="750"/>
      <c r="Y475" s="761"/>
      <c r="Z475" s="761"/>
      <c r="AA475" s="761"/>
      <c r="AB475" s="761"/>
      <c r="AC475" s="761"/>
      <c r="AD475" s="761"/>
      <c r="AE475" s="761"/>
      <c r="AF475" s="411"/>
      <c r="AG475" s="411"/>
      <c r="AH475" s="411"/>
      <c r="AI475" s="411"/>
      <c r="AJ475" s="411"/>
      <c r="AK475" s="411"/>
      <c r="AL475" s="411"/>
      <c r="AM475" s="306"/>
    </row>
    <row r="476" spans="1:39" ht="15.5" outlineLevel="1">
      <c r="A476" s="504"/>
      <c r="B476" s="288" t="s">
        <v>14</v>
      </c>
      <c r="C476" s="289"/>
      <c r="D476" s="756"/>
      <c r="E476" s="756"/>
      <c r="F476" s="756"/>
      <c r="G476" s="756"/>
      <c r="H476" s="756"/>
      <c r="I476" s="756"/>
      <c r="J476" s="756"/>
      <c r="K476" s="756"/>
      <c r="L476" s="756"/>
      <c r="M476" s="756"/>
      <c r="N476" s="756"/>
      <c r="O476" s="756"/>
      <c r="P476" s="756"/>
      <c r="Q476" s="756"/>
      <c r="R476" s="756"/>
      <c r="S476" s="756"/>
      <c r="T476" s="756"/>
      <c r="U476" s="756"/>
      <c r="V476" s="756"/>
      <c r="W476" s="756"/>
      <c r="X476" s="756"/>
      <c r="Y476" s="763"/>
      <c r="Z476" s="763"/>
      <c r="AA476" s="763"/>
      <c r="AB476" s="763"/>
      <c r="AC476" s="763"/>
      <c r="AD476" s="763"/>
      <c r="AE476" s="763"/>
      <c r="AF476" s="413"/>
      <c r="AG476" s="413"/>
      <c r="AH476" s="413"/>
      <c r="AI476" s="413"/>
      <c r="AJ476" s="413"/>
      <c r="AK476" s="413"/>
      <c r="AL476" s="413"/>
      <c r="AM476" s="292"/>
    </row>
    <row r="477" spans="1:39" ht="15.5" outlineLevel="1">
      <c r="A477" s="503">
        <v>23</v>
      </c>
      <c r="B477" s="315" t="s">
        <v>14</v>
      </c>
      <c r="C477" s="291" t="s">
        <v>25</v>
      </c>
      <c r="D477" s="295">
        <f>'7.  Persistence Report'!AT97</f>
        <v>26375.740419999998</v>
      </c>
      <c r="E477" s="295">
        <f>'7.  Persistence Report'!AU97</f>
        <v>25762.148020000001</v>
      </c>
      <c r="F477" s="295">
        <f>'7.  Persistence Report'!AV97</f>
        <v>22681.152050000001</v>
      </c>
      <c r="G477" s="295">
        <f>'7.  Persistence Report'!AW97</f>
        <v>21008.730439999999</v>
      </c>
      <c r="H477" s="295">
        <f>'7.  Persistence Report'!AX97</f>
        <v>19587.404900000001</v>
      </c>
      <c r="I477" s="295">
        <f>'7.  Persistence Report'!AY97</f>
        <v>19587.404900000001</v>
      </c>
      <c r="J477" s="295">
        <f>'7.  Persistence Report'!AZ97</f>
        <v>19587.404900000001</v>
      </c>
      <c r="K477" s="295">
        <f>'7.  Persistence Report'!BA97</f>
        <v>19587.404900000001</v>
      </c>
      <c r="L477" s="295">
        <f>'7.  Persistence Report'!BB97</f>
        <v>7687.796867</v>
      </c>
      <c r="M477" s="295">
        <f>'7.  Persistence Report'!BC97</f>
        <v>7687.796867</v>
      </c>
      <c r="N477" s="750"/>
      <c r="O477" s="295">
        <f>'7.  Persistence Report'!O97</f>
        <v>1.756417178</v>
      </c>
      <c r="P477" s="295">
        <f>'7.  Persistence Report'!P97</f>
        <v>1.7246067629999999</v>
      </c>
      <c r="Q477" s="295">
        <f>'7.  Persistence Report'!Q97</f>
        <v>1.5639798060000001</v>
      </c>
      <c r="R477" s="295">
        <f>'7.  Persistence Report'!R97</f>
        <v>1.476803879</v>
      </c>
      <c r="S477" s="295">
        <f>'7.  Persistence Report'!S97</f>
        <v>1.402647773</v>
      </c>
      <c r="T477" s="295">
        <f>'7.  Persistence Report'!T97</f>
        <v>1.402647773</v>
      </c>
      <c r="U477" s="295">
        <f>'7.  Persistence Report'!U97</f>
        <v>1.402647773</v>
      </c>
      <c r="V477" s="295">
        <f>'7.  Persistence Report'!V97</f>
        <v>1.402647773</v>
      </c>
      <c r="W477" s="295">
        <f>'7.  Persistence Report'!W97</f>
        <v>0.78258011100000002</v>
      </c>
      <c r="X477" s="295">
        <f>'7.  Persistence Report'!X97</f>
        <v>0.78258011100000002</v>
      </c>
      <c r="Y477" s="777">
        <v>1</v>
      </c>
      <c r="Z477" s="759"/>
      <c r="AA477" s="759"/>
      <c r="AB477" s="759"/>
      <c r="AC477" s="759"/>
      <c r="AD477" s="759"/>
      <c r="AE477" s="759"/>
      <c r="AF477" s="409"/>
      <c r="AG477" s="409"/>
      <c r="AH477" s="409"/>
      <c r="AI477" s="409"/>
      <c r="AJ477" s="409"/>
      <c r="AK477" s="409"/>
      <c r="AL477" s="409"/>
      <c r="AM477" s="296">
        <f>SUM(Y477:AL477)</f>
        <v>1</v>
      </c>
    </row>
    <row r="478" spans="2:39" ht="15.5" outlineLevel="1">
      <c r="B478" s="294" t="s">
        <v>259</v>
      </c>
      <c r="C478" s="291" t="s">
        <v>163</v>
      </c>
      <c r="D478" s="295"/>
      <c r="E478" s="295"/>
      <c r="F478" s="295"/>
      <c r="G478" s="295"/>
      <c r="H478" s="295"/>
      <c r="I478" s="295"/>
      <c r="J478" s="295"/>
      <c r="K478" s="295"/>
      <c r="L478" s="295"/>
      <c r="M478" s="295"/>
      <c r="N478" s="751"/>
      <c r="O478" s="295"/>
      <c r="P478" s="295"/>
      <c r="Q478" s="295"/>
      <c r="R478" s="295"/>
      <c r="S478" s="295"/>
      <c r="T478" s="295"/>
      <c r="U478" s="295"/>
      <c r="V478" s="295"/>
      <c r="W478" s="295"/>
      <c r="X478" s="295"/>
      <c r="Y478" s="760">
        <f>Y477</f>
        <v>1</v>
      </c>
      <c r="Z478" s="760">
        <f>Z477</f>
        <v>0</v>
      </c>
      <c r="AA478" s="760">
        <f t="shared" si="261" ref="AA478:AE478">AA477</f>
        <v>0</v>
      </c>
      <c r="AB478" s="760">
        <f t="shared" si="261"/>
        <v>0</v>
      </c>
      <c r="AC478" s="760">
        <f t="shared" si="261"/>
        <v>0</v>
      </c>
      <c r="AD478" s="760">
        <f t="shared" si="261"/>
        <v>0</v>
      </c>
      <c r="AE478" s="760">
        <f t="shared" si="261"/>
        <v>0</v>
      </c>
      <c r="AF478" s="410">
        <f t="shared" si="262" ref="AF478:AL478">AF477</f>
        <v>0</v>
      </c>
      <c r="AG478" s="410">
        <f t="shared" si="262"/>
        <v>0</v>
      </c>
      <c r="AH478" s="410">
        <f t="shared" si="262"/>
        <v>0</v>
      </c>
      <c r="AI478" s="410">
        <f t="shared" si="262"/>
        <v>0</v>
      </c>
      <c r="AJ478" s="410">
        <f t="shared" si="262"/>
        <v>0</v>
      </c>
      <c r="AK478" s="410">
        <f t="shared" si="262"/>
        <v>0</v>
      </c>
      <c r="AL478" s="410">
        <f t="shared" si="262"/>
        <v>0</v>
      </c>
      <c r="AM478" s="297"/>
    </row>
    <row r="479" spans="2:39" ht="15.5" outlineLevel="1">
      <c r="B479" s="315"/>
      <c r="C479" s="305"/>
      <c r="D479" s="750"/>
      <c r="E479" s="750"/>
      <c r="F479" s="750"/>
      <c r="G479" s="750"/>
      <c r="H479" s="750"/>
      <c r="I479" s="750"/>
      <c r="J479" s="750"/>
      <c r="K479" s="750"/>
      <c r="L479" s="750"/>
      <c r="M479" s="750"/>
      <c r="N479" s="750"/>
      <c r="O479" s="750"/>
      <c r="P479" s="750"/>
      <c r="Q479" s="750"/>
      <c r="R479" s="750"/>
      <c r="S479" s="750"/>
      <c r="T479" s="750"/>
      <c r="U479" s="750"/>
      <c r="V479" s="750"/>
      <c r="W479" s="750"/>
      <c r="X479" s="750"/>
      <c r="Y479" s="761"/>
      <c r="Z479" s="761"/>
      <c r="AA479" s="761"/>
      <c r="AB479" s="761"/>
      <c r="AC479" s="761"/>
      <c r="AD479" s="761"/>
      <c r="AE479" s="761"/>
      <c r="AF479" s="411"/>
      <c r="AG479" s="411"/>
      <c r="AH479" s="411"/>
      <c r="AI479" s="411"/>
      <c r="AJ479" s="411"/>
      <c r="AK479" s="411"/>
      <c r="AL479" s="411"/>
      <c r="AM479" s="306"/>
    </row>
    <row r="480" spans="1:39" s="293" customFormat="1" ht="15.5" outlineLevel="1">
      <c r="A480" s="504"/>
      <c r="B480" s="288" t="s">
        <v>487</v>
      </c>
      <c r="C480" s="289"/>
      <c r="D480" s="756"/>
      <c r="E480" s="756"/>
      <c r="F480" s="756"/>
      <c r="G480" s="756"/>
      <c r="H480" s="756"/>
      <c r="I480" s="756"/>
      <c r="J480" s="756"/>
      <c r="K480" s="756"/>
      <c r="L480" s="756"/>
      <c r="M480" s="756"/>
      <c r="N480" s="756"/>
      <c r="O480" s="756"/>
      <c r="P480" s="756"/>
      <c r="Q480" s="756"/>
      <c r="R480" s="756"/>
      <c r="S480" s="756"/>
      <c r="T480" s="756"/>
      <c r="U480" s="756"/>
      <c r="V480" s="756"/>
      <c r="W480" s="756"/>
      <c r="X480" s="756"/>
      <c r="Y480" s="763"/>
      <c r="Z480" s="763"/>
      <c r="AA480" s="763"/>
      <c r="AB480" s="763"/>
      <c r="AC480" s="763"/>
      <c r="AD480" s="763"/>
      <c r="AE480" s="763"/>
      <c r="AF480" s="413"/>
      <c r="AG480" s="413"/>
      <c r="AH480" s="413"/>
      <c r="AI480" s="413"/>
      <c r="AJ480" s="413"/>
      <c r="AK480" s="413"/>
      <c r="AL480" s="413"/>
      <c r="AM480" s="292"/>
    </row>
    <row r="481" spans="1:39" s="283" customFormat="1" ht="15.5" outlineLevel="1">
      <c r="A481" s="503">
        <v>24</v>
      </c>
      <c r="B481" s="315" t="s">
        <v>14</v>
      </c>
      <c r="C481" s="291" t="s">
        <v>25</v>
      </c>
      <c r="D481" s="295"/>
      <c r="E481" s="295"/>
      <c r="F481" s="295"/>
      <c r="G481" s="295"/>
      <c r="H481" s="295"/>
      <c r="I481" s="295"/>
      <c r="J481" s="295"/>
      <c r="K481" s="295"/>
      <c r="L481" s="295"/>
      <c r="M481" s="295"/>
      <c r="N481" s="750"/>
      <c r="O481" s="295"/>
      <c r="P481" s="295"/>
      <c r="Q481" s="295"/>
      <c r="R481" s="295"/>
      <c r="S481" s="295"/>
      <c r="T481" s="295"/>
      <c r="U481" s="295"/>
      <c r="V481" s="295"/>
      <c r="W481" s="295"/>
      <c r="X481" s="295"/>
      <c r="Y481" s="759"/>
      <c r="Z481" s="759"/>
      <c r="AA481" s="759"/>
      <c r="AB481" s="759"/>
      <c r="AC481" s="759"/>
      <c r="AD481" s="759"/>
      <c r="AE481" s="759"/>
      <c r="AF481" s="409"/>
      <c r="AG481" s="409"/>
      <c r="AH481" s="409"/>
      <c r="AI481" s="409"/>
      <c r="AJ481" s="409"/>
      <c r="AK481" s="409"/>
      <c r="AL481" s="409"/>
      <c r="AM481" s="296">
        <f>SUM(Y481:AL481)</f>
        <v>0</v>
      </c>
    </row>
    <row r="482" spans="1:39" s="283" customFormat="1" ht="15.5" outlineLevel="1">
      <c r="A482" s="503"/>
      <c r="B482" s="315" t="s">
        <v>259</v>
      </c>
      <c r="C482" s="291" t="s">
        <v>163</v>
      </c>
      <c r="D482" s="295"/>
      <c r="E482" s="295"/>
      <c r="F482" s="295"/>
      <c r="G482" s="295"/>
      <c r="H482" s="295"/>
      <c r="I482" s="295"/>
      <c r="J482" s="295"/>
      <c r="K482" s="295"/>
      <c r="L482" s="295"/>
      <c r="M482" s="295"/>
      <c r="N482" s="751"/>
      <c r="O482" s="295"/>
      <c r="P482" s="295"/>
      <c r="Q482" s="295"/>
      <c r="R482" s="295"/>
      <c r="S482" s="295"/>
      <c r="T482" s="295"/>
      <c r="U482" s="295"/>
      <c r="V482" s="295"/>
      <c r="W482" s="295"/>
      <c r="X482" s="295"/>
      <c r="Y482" s="760">
        <f>Y481</f>
        <v>0</v>
      </c>
      <c r="Z482" s="760">
        <f>Z481</f>
        <v>0</v>
      </c>
      <c r="AA482" s="760">
        <f t="shared" si="263" ref="AA482:AE482">AA481</f>
        <v>0</v>
      </c>
      <c r="AB482" s="760">
        <f t="shared" si="263"/>
        <v>0</v>
      </c>
      <c r="AC482" s="760">
        <f t="shared" si="263"/>
        <v>0</v>
      </c>
      <c r="AD482" s="760">
        <f t="shared" si="263"/>
        <v>0</v>
      </c>
      <c r="AE482" s="760">
        <f t="shared" si="263"/>
        <v>0</v>
      </c>
      <c r="AF482" s="410">
        <f t="shared" si="264" ref="AF482:AL482">AF481</f>
        <v>0</v>
      </c>
      <c r="AG482" s="410">
        <f t="shared" si="264"/>
        <v>0</v>
      </c>
      <c r="AH482" s="410">
        <f t="shared" si="264"/>
        <v>0</v>
      </c>
      <c r="AI482" s="410">
        <f t="shared" si="264"/>
        <v>0</v>
      </c>
      <c r="AJ482" s="410">
        <f t="shared" si="264"/>
        <v>0</v>
      </c>
      <c r="AK482" s="410">
        <f t="shared" si="264"/>
        <v>0</v>
      </c>
      <c r="AL482" s="410">
        <f t="shared" si="264"/>
        <v>0</v>
      </c>
      <c r="AM482" s="297"/>
    </row>
    <row r="483" spans="1:39" s="283" customFormat="1" ht="15.5" outlineLevel="1">
      <c r="A483" s="503"/>
      <c r="B483" s="315"/>
      <c r="C483" s="305"/>
      <c r="D483" s="750"/>
      <c r="E483" s="750"/>
      <c r="F483" s="750"/>
      <c r="G483" s="750"/>
      <c r="H483" s="750"/>
      <c r="I483" s="750"/>
      <c r="J483" s="750"/>
      <c r="K483" s="750"/>
      <c r="L483" s="750"/>
      <c r="M483" s="750"/>
      <c r="N483" s="750"/>
      <c r="O483" s="750"/>
      <c r="P483" s="750"/>
      <c r="Q483" s="750"/>
      <c r="R483" s="750"/>
      <c r="S483" s="750"/>
      <c r="T483" s="750"/>
      <c r="U483" s="750"/>
      <c r="V483" s="750"/>
      <c r="W483" s="750"/>
      <c r="X483" s="750"/>
      <c r="Y483" s="761"/>
      <c r="Z483" s="761"/>
      <c r="AA483" s="761"/>
      <c r="AB483" s="761"/>
      <c r="AC483" s="761"/>
      <c r="AD483" s="761"/>
      <c r="AE483" s="761"/>
      <c r="AF483" s="411"/>
      <c r="AG483" s="411"/>
      <c r="AH483" s="411"/>
      <c r="AI483" s="411"/>
      <c r="AJ483" s="411"/>
      <c r="AK483" s="411"/>
      <c r="AL483" s="411"/>
      <c r="AM483" s="306"/>
    </row>
    <row r="484" spans="1:39" s="283" customFormat="1" ht="15.5" outlineLevel="1">
      <c r="A484" s="503">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764"/>
      <c r="Z484" s="764"/>
      <c r="AA484" s="764"/>
      <c r="AB484" s="764"/>
      <c r="AC484" s="764"/>
      <c r="AD484" s="764"/>
      <c r="AE484" s="764"/>
      <c r="AF484" s="414"/>
      <c r="AG484" s="414"/>
      <c r="AH484" s="414"/>
      <c r="AI484" s="414"/>
      <c r="AJ484" s="414"/>
      <c r="AK484" s="414"/>
      <c r="AL484" s="414"/>
      <c r="AM484" s="296">
        <f>SUM(Y484:AL484)</f>
        <v>0</v>
      </c>
    </row>
    <row r="485" spans="1:39" s="283" customFormat="1" ht="15.5" outlineLevel="1">
      <c r="A485" s="503"/>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60">
        <f>Y484</f>
        <v>0</v>
      </c>
      <c r="Z485" s="760">
        <f>Z484</f>
        <v>0</v>
      </c>
      <c r="AA485" s="760">
        <f t="shared" si="265" ref="AA485:AE485">AA484</f>
        <v>0</v>
      </c>
      <c r="AB485" s="760">
        <f t="shared" si="265"/>
        <v>0</v>
      </c>
      <c r="AC485" s="760">
        <f t="shared" si="265"/>
        <v>0</v>
      </c>
      <c r="AD485" s="760">
        <f t="shared" si="265"/>
        <v>0</v>
      </c>
      <c r="AE485" s="760">
        <f t="shared" si="265"/>
        <v>0</v>
      </c>
      <c r="AF485" s="410">
        <f t="shared" si="266" ref="AF485:AL485">AF484</f>
        <v>0</v>
      </c>
      <c r="AG485" s="410">
        <f t="shared" si="266"/>
        <v>0</v>
      </c>
      <c r="AH485" s="410">
        <f t="shared" si="266"/>
        <v>0</v>
      </c>
      <c r="AI485" s="410">
        <f t="shared" si="266"/>
        <v>0</v>
      </c>
      <c r="AJ485" s="410">
        <f t="shared" si="266"/>
        <v>0</v>
      </c>
      <c r="AK485" s="410">
        <f t="shared" si="266"/>
        <v>0</v>
      </c>
      <c r="AL485" s="410">
        <f t="shared" si="266"/>
        <v>0</v>
      </c>
      <c r="AM485" s="311"/>
    </row>
    <row r="486" spans="1:39" s="283" customFormat="1" ht="15.5" outlineLevel="1">
      <c r="A486" s="503"/>
      <c r="B486" s="314"/>
      <c r="C486" s="312"/>
      <c r="D486" s="750"/>
      <c r="E486" s="750"/>
      <c r="F486" s="750"/>
      <c r="G486" s="750"/>
      <c r="H486" s="750"/>
      <c r="I486" s="750"/>
      <c r="J486" s="750"/>
      <c r="K486" s="750"/>
      <c r="L486" s="750"/>
      <c r="M486" s="750"/>
      <c r="N486" s="750"/>
      <c r="O486" s="750"/>
      <c r="P486" s="750"/>
      <c r="Q486" s="750"/>
      <c r="R486" s="750"/>
      <c r="S486" s="750"/>
      <c r="T486" s="750"/>
      <c r="U486" s="750"/>
      <c r="V486" s="750"/>
      <c r="W486" s="750"/>
      <c r="X486" s="750"/>
      <c r="Y486" s="765"/>
      <c r="Z486" s="766"/>
      <c r="AA486" s="765"/>
      <c r="AB486" s="765"/>
      <c r="AC486" s="765"/>
      <c r="AD486" s="765"/>
      <c r="AE486" s="765"/>
      <c r="AF486" s="415"/>
      <c r="AG486" s="415"/>
      <c r="AH486" s="415"/>
      <c r="AI486" s="415"/>
      <c r="AJ486" s="415"/>
      <c r="AK486" s="415"/>
      <c r="AL486" s="415"/>
      <c r="AM486" s="313"/>
    </row>
    <row r="487" spans="1:39" ht="15.5" outlineLevel="1">
      <c r="A487" s="504"/>
      <c r="B487" s="288" t="s">
        <v>15</v>
      </c>
      <c r="C487" s="319"/>
      <c r="D487" s="756"/>
      <c r="E487" s="756"/>
      <c r="F487" s="756"/>
      <c r="G487" s="756"/>
      <c r="H487" s="756"/>
      <c r="I487" s="756"/>
      <c r="J487" s="756"/>
      <c r="K487" s="756"/>
      <c r="L487" s="756"/>
      <c r="M487" s="756"/>
      <c r="N487" s="750"/>
      <c r="O487" s="756"/>
      <c r="P487" s="756"/>
      <c r="Q487" s="756"/>
      <c r="R487" s="756"/>
      <c r="S487" s="756"/>
      <c r="T487" s="756"/>
      <c r="U487" s="756"/>
      <c r="V487" s="756"/>
      <c r="W487" s="756"/>
      <c r="X487" s="756"/>
      <c r="Y487" s="763"/>
      <c r="Z487" s="763"/>
      <c r="AA487" s="763"/>
      <c r="AB487" s="763"/>
      <c r="AC487" s="763"/>
      <c r="AD487" s="763"/>
      <c r="AE487" s="763"/>
      <c r="AF487" s="413"/>
      <c r="AG487" s="413"/>
      <c r="AH487" s="413"/>
      <c r="AI487" s="413"/>
      <c r="AJ487" s="413"/>
      <c r="AK487" s="413"/>
      <c r="AL487" s="413"/>
      <c r="AM487" s="292"/>
    </row>
    <row r="488" spans="1:39" ht="15.5" outlineLevel="1">
      <c r="A488" s="503">
        <v>26</v>
      </c>
      <c r="B488" s="320"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76"/>
      <c r="Z488" s="764"/>
      <c r="AA488" s="764"/>
      <c r="AB488" s="764"/>
      <c r="AC488" s="764"/>
      <c r="AD488" s="764"/>
      <c r="AE488" s="764"/>
      <c r="AF488" s="414"/>
      <c r="AG488" s="414"/>
      <c r="AH488" s="414"/>
      <c r="AI488" s="414"/>
      <c r="AJ488" s="414"/>
      <c r="AK488" s="414"/>
      <c r="AL488" s="414"/>
      <c r="AM488" s="296">
        <f>SUM(Y488:AL488)</f>
        <v>0</v>
      </c>
    </row>
    <row r="489" spans="2: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60">
        <f>Y488</f>
        <v>0</v>
      </c>
      <c r="Z489" s="760">
        <f>Z488</f>
        <v>0</v>
      </c>
      <c r="AA489" s="760">
        <f t="shared" si="267" ref="AA489:AE489">AA488</f>
        <v>0</v>
      </c>
      <c r="AB489" s="760">
        <f t="shared" si="267"/>
        <v>0</v>
      </c>
      <c r="AC489" s="760">
        <f t="shared" si="267"/>
        <v>0</v>
      </c>
      <c r="AD489" s="760">
        <f t="shared" si="267"/>
        <v>0</v>
      </c>
      <c r="AE489" s="760">
        <f t="shared" si="267"/>
        <v>0</v>
      </c>
      <c r="AF489" s="410">
        <f t="shared" si="268" ref="AF489:AL489">AF488</f>
        <v>0</v>
      </c>
      <c r="AG489" s="410">
        <f t="shared" si="268"/>
        <v>0</v>
      </c>
      <c r="AH489" s="410">
        <f t="shared" si="268"/>
        <v>0</v>
      </c>
      <c r="AI489" s="410">
        <f t="shared" si="268"/>
        <v>0</v>
      </c>
      <c r="AJ489" s="410">
        <f t="shared" si="268"/>
        <v>0</v>
      </c>
      <c r="AK489" s="410">
        <f t="shared" si="268"/>
        <v>0</v>
      </c>
      <c r="AL489" s="410">
        <f t="shared" si="268"/>
        <v>0</v>
      </c>
      <c r="AM489" s="306"/>
    </row>
    <row r="490" spans="1:39" ht="15.5" outlineLevel="1">
      <c r="A490" s="506"/>
      <c r="B490" s="321"/>
      <c r="C490" s="291"/>
      <c r="D490" s="750"/>
      <c r="E490" s="750"/>
      <c r="F490" s="750"/>
      <c r="G490" s="750"/>
      <c r="H490" s="750"/>
      <c r="I490" s="750"/>
      <c r="J490" s="750"/>
      <c r="K490" s="750"/>
      <c r="L490" s="750"/>
      <c r="M490" s="750"/>
      <c r="N490" s="750"/>
      <c r="O490" s="750"/>
      <c r="P490" s="750"/>
      <c r="Q490" s="750"/>
      <c r="R490" s="750"/>
      <c r="S490" s="750"/>
      <c r="T490" s="750"/>
      <c r="U490" s="750"/>
      <c r="V490" s="750"/>
      <c r="W490" s="750"/>
      <c r="X490" s="750"/>
      <c r="Y490" s="772"/>
      <c r="Z490" s="773"/>
      <c r="AA490" s="773"/>
      <c r="AB490" s="773"/>
      <c r="AC490" s="773"/>
      <c r="AD490" s="773"/>
      <c r="AE490" s="773"/>
      <c r="AF490" s="421"/>
      <c r="AG490" s="421"/>
      <c r="AH490" s="421"/>
      <c r="AI490" s="421"/>
      <c r="AJ490" s="421"/>
      <c r="AK490" s="421"/>
      <c r="AL490" s="421"/>
      <c r="AM490" s="297"/>
    </row>
    <row r="491" spans="1:39" ht="15.5" outlineLevel="1">
      <c r="A491" s="503">
        <v>27</v>
      </c>
      <c r="B491" s="320" t="s">
        <v>17</v>
      </c>
      <c r="C491" s="291" t="s">
        <v>25</v>
      </c>
      <c r="D491" s="295">
        <f>'7.  Persistence Report'!AT88</f>
        <v>126131.6814</v>
      </c>
      <c r="E491" s="295">
        <f>'7.  Persistence Report'!AU88</f>
        <v>126131.6814</v>
      </c>
      <c r="F491" s="295">
        <f>'7.  Persistence Report'!AV88</f>
        <v>126131.6814</v>
      </c>
      <c r="G491" s="295">
        <f>'7.  Persistence Report'!AW88</f>
        <v>126131.6814</v>
      </c>
      <c r="H491" s="295">
        <f>'7.  Persistence Report'!AX88</f>
        <v>126131.6814</v>
      </c>
      <c r="I491" s="295">
        <f>'7.  Persistence Report'!AY88</f>
        <v>126131.6814</v>
      </c>
      <c r="J491" s="295">
        <f>'7.  Persistence Report'!AZ88</f>
        <v>126131.6814</v>
      </c>
      <c r="K491" s="295">
        <f>'7.  Persistence Report'!BA88</f>
        <v>126131.6814</v>
      </c>
      <c r="L491" s="295">
        <f>'7.  Persistence Report'!BB88</f>
        <v>104362.76940000001</v>
      </c>
      <c r="M491" s="295">
        <f>'7.  Persistence Report'!BC88</f>
        <v>104362.76940000001</v>
      </c>
      <c r="N491" s="295">
        <v>12</v>
      </c>
      <c r="O491" s="295">
        <f>'7.  Persistence Report'!O88</f>
        <v>24.329093839999999</v>
      </c>
      <c r="P491" s="295">
        <f>'7.  Persistence Report'!P88</f>
        <v>24.329093839999999</v>
      </c>
      <c r="Q491" s="295">
        <f>'7.  Persistence Report'!Q88</f>
        <v>24.329093839999999</v>
      </c>
      <c r="R491" s="295">
        <f>'7.  Persistence Report'!R88</f>
        <v>24.329093839999999</v>
      </c>
      <c r="S491" s="295">
        <f>'7.  Persistence Report'!S88</f>
        <v>24.329093839999999</v>
      </c>
      <c r="T491" s="295">
        <f>'7.  Persistence Report'!T88</f>
        <v>24.329093839999999</v>
      </c>
      <c r="U491" s="295">
        <f>'7.  Persistence Report'!U88</f>
        <v>24.329093839999999</v>
      </c>
      <c r="V491" s="295">
        <f>'7.  Persistence Report'!V88</f>
        <v>24.329093839999999</v>
      </c>
      <c r="W491" s="295">
        <f>'7.  Persistence Report'!W88</f>
        <v>17.742821840000001</v>
      </c>
      <c r="X491" s="295">
        <f>'7.  Persistence Report'!X88</f>
        <v>17.742821840000001</v>
      </c>
      <c r="Y491" s="776"/>
      <c r="Z491" s="764"/>
      <c r="AA491" s="764"/>
      <c r="AB491" s="764">
        <v>1</v>
      </c>
      <c r="AC491" s="764"/>
      <c r="AD491" s="764"/>
      <c r="AE491" s="764"/>
      <c r="AF491" s="414"/>
      <c r="AG491" s="414"/>
      <c r="AH491" s="414"/>
      <c r="AI491" s="414"/>
      <c r="AJ491" s="414"/>
      <c r="AK491" s="414"/>
      <c r="AL491" s="414"/>
      <c r="AM491" s="296">
        <f>SUM(Y491:AL491)</f>
        <v>1</v>
      </c>
    </row>
    <row r="492" spans="2: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60">
        <f>Y491</f>
        <v>0</v>
      </c>
      <c r="Z492" s="760">
        <f>Z491</f>
        <v>0</v>
      </c>
      <c r="AA492" s="760">
        <f t="shared" si="269" ref="AA492:AE492">AA491</f>
        <v>0</v>
      </c>
      <c r="AB492" s="760">
        <f t="shared" si="269"/>
        <v>1</v>
      </c>
      <c r="AC492" s="760">
        <f t="shared" si="269"/>
        <v>0</v>
      </c>
      <c r="AD492" s="760">
        <f t="shared" si="269"/>
        <v>0</v>
      </c>
      <c r="AE492" s="760">
        <f t="shared" si="269"/>
        <v>0</v>
      </c>
      <c r="AF492" s="410">
        <f t="shared" si="270" ref="AF492:AL492">AF491</f>
        <v>0</v>
      </c>
      <c r="AG492" s="410">
        <f t="shared" si="270"/>
        <v>0</v>
      </c>
      <c r="AH492" s="410">
        <f t="shared" si="270"/>
        <v>0</v>
      </c>
      <c r="AI492" s="410">
        <f t="shared" si="270"/>
        <v>0</v>
      </c>
      <c r="AJ492" s="410">
        <f t="shared" si="270"/>
        <v>0</v>
      </c>
      <c r="AK492" s="410">
        <f t="shared" si="270"/>
        <v>0</v>
      </c>
      <c r="AL492" s="410">
        <f t="shared" si="270"/>
        <v>0</v>
      </c>
      <c r="AM492" s="306"/>
    </row>
    <row r="493" spans="1:39" ht="15.5" outlineLevel="1">
      <c r="A493" s="506"/>
      <c r="B493" s="322"/>
      <c r="C493" s="300"/>
      <c r="D493" s="750"/>
      <c r="E493" s="750"/>
      <c r="F493" s="750"/>
      <c r="G493" s="750"/>
      <c r="H493" s="750"/>
      <c r="I493" s="750"/>
      <c r="J493" s="750"/>
      <c r="K493" s="750"/>
      <c r="L493" s="750"/>
      <c r="M493" s="750"/>
      <c r="N493" s="758"/>
      <c r="O493" s="750"/>
      <c r="P493" s="750"/>
      <c r="Q493" s="750"/>
      <c r="R493" s="750"/>
      <c r="S493" s="750"/>
      <c r="T493" s="750"/>
      <c r="U493" s="750"/>
      <c r="V493" s="750"/>
      <c r="W493" s="750"/>
      <c r="X493" s="750"/>
      <c r="Y493" s="761"/>
      <c r="Z493" s="761"/>
      <c r="AA493" s="761"/>
      <c r="AB493" s="761"/>
      <c r="AC493" s="761"/>
      <c r="AD493" s="761"/>
      <c r="AE493" s="761"/>
      <c r="AF493" s="411"/>
      <c r="AG493" s="411"/>
      <c r="AH493" s="411"/>
      <c r="AI493" s="411"/>
      <c r="AJ493" s="411"/>
      <c r="AK493" s="411"/>
      <c r="AL493" s="411"/>
      <c r="AM493" s="306"/>
    </row>
    <row r="494" spans="1:39" ht="15.5" outlineLevel="1">
      <c r="A494" s="503">
        <v>28</v>
      </c>
      <c r="B494" s="320"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76"/>
      <c r="Z494" s="764"/>
      <c r="AA494" s="764"/>
      <c r="AB494" s="764"/>
      <c r="AC494" s="764"/>
      <c r="AD494" s="764"/>
      <c r="AE494" s="764"/>
      <c r="AF494" s="414"/>
      <c r="AG494" s="414"/>
      <c r="AH494" s="414"/>
      <c r="AI494" s="414"/>
      <c r="AJ494" s="414"/>
      <c r="AK494" s="414"/>
      <c r="AL494" s="414"/>
      <c r="AM494" s="296">
        <f>SUM(Y494:AL494)</f>
        <v>0</v>
      </c>
    </row>
    <row r="495" spans="2: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60">
        <f>Y494</f>
        <v>0</v>
      </c>
      <c r="Z495" s="760">
        <f>Z494</f>
        <v>0</v>
      </c>
      <c r="AA495" s="760">
        <f t="shared" si="271" ref="AA495:AE495">AA494</f>
        <v>0</v>
      </c>
      <c r="AB495" s="760">
        <f t="shared" si="271"/>
        <v>0</v>
      </c>
      <c r="AC495" s="760">
        <f t="shared" si="271"/>
        <v>0</v>
      </c>
      <c r="AD495" s="760">
        <f t="shared" si="271"/>
        <v>0</v>
      </c>
      <c r="AE495" s="760">
        <f t="shared" si="271"/>
        <v>0</v>
      </c>
      <c r="AF495" s="410">
        <f t="shared" si="272" ref="AF495:AL495">AF494</f>
        <v>0</v>
      </c>
      <c r="AG495" s="410">
        <f t="shared" si="272"/>
        <v>0</v>
      </c>
      <c r="AH495" s="410">
        <f t="shared" si="272"/>
        <v>0</v>
      </c>
      <c r="AI495" s="410">
        <f t="shared" si="272"/>
        <v>0</v>
      </c>
      <c r="AJ495" s="410">
        <f t="shared" si="272"/>
        <v>0</v>
      </c>
      <c r="AK495" s="410">
        <f t="shared" si="272"/>
        <v>0</v>
      </c>
      <c r="AL495" s="410">
        <f t="shared" si="272"/>
        <v>0</v>
      </c>
      <c r="AM495" s="297"/>
    </row>
    <row r="496" spans="1:39" ht="15.5" outlineLevel="1">
      <c r="A496" s="506"/>
      <c r="B496" s="321"/>
      <c r="C496" s="291"/>
      <c r="D496" s="750"/>
      <c r="E496" s="750"/>
      <c r="F496" s="750"/>
      <c r="G496" s="750"/>
      <c r="H496" s="750"/>
      <c r="I496" s="750"/>
      <c r="J496" s="750"/>
      <c r="K496" s="750"/>
      <c r="L496" s="750"/>
      <c r="M496" s="750"/>
      <c r="N496" s="750"/>
      <c r="O496" s="750"/>
      <c r="P496" s="750"/>
      <c r="Q496" s="750"/>
      <c r="R496" s="750"/>
      <c r="S496" s="750"/>
      <c r="T496" s="750"/>
      <c r="U496" s="750"/>
      <c r="V496" s="750"/>
      <c r="W496" s="750"/>
      <c r="X496" s="750"/>
      <c r="Y496" s="761"/>
      <c r="Z496" s="761"/>
      <c r="AA496" s="761"/>
      <c r="AB496" s="761"/>
      <c r="AC496" s="761"/>
      <c r="AD496" s="761"/>
      <c r="AE496" s="761"/>
      <c r="AF496" s="411"/>
      <c r="AG496" s="411"/>
      <c r="AH496" s="411"/>
      <c r="AI496" s="411"/>
      <c r="AJ496" s="411"/>
      <c r="AK496" s="411"/>
      <c r="AL496" s="411"/>
      <c r="AM496" s="306"/>
    </row>
    <row r="497" spans="1:39" ht="15.5" outlineLevel="1">
      <c r="A497" s="503">
        <v>29</v>
      </c>
      <c r="B497" s="323"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76"/>
      <c r="Z497" s="764"/>
      <c r="AA497" s="764"/>
      <c r="AB497" s="764"/>
      <c r="AC497" s="764"/>
      <c r="AD497" s="764"/>
      <c r="AE497" s="764"/>
      <c r="AF497" s="414"/>
      <c r="AG497" s="414"/>
      <c r="AH497" s="414"/>
      <c r="AI497" s="414"/>
      <c r="AJ497" s="414"/>
      <c r="AK497" s="414"/>
      <c r="AL497" s="414"/>
      <c r="AM497" s="296">
        <f>SUM(Y497:AL497)</f>
        <v>0</v>
      </c>
    </row>
    <row r="498" spans="2:39" ht="15.5" outlineLevel="1">
      <c r="B498" s="323"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60">
        <f>Y497</f>
        <v>0</v>
      </c>
      <c r="Z498" s="760">
        <f t="shared" si="273" ref="Z498:AE498">Z497</f>
        <v>0</v>
      </c>
      <c r="AA498" s="760">
        <f t="shared" si="273"/>
        <v>0</v>
      </c>
      <c r="AB498" s="760">
        <f t="shared" si="273"/>
        <v>0</v>
      </c>
      <c r="AC498" s="760">
        <f t="shared" si="273"/>
        <v>0</v>
      </c>
      <c r="AD498" s="760">
        <f t="shared" si="273"/>
        <v>0</v>
      </c>
      <c r="AE498" s="760">
        <f t="shared" si="273"/>
        <v>0</v>
      </c>
      <c r="AF498" s="410">
        <f t="shared" si="274" ref="AF498:AL498">AF497</f>
        <v>0</v>
      </c>
      <c r="AG498" s="410">
        <f t="shared" si="274"/>
        <v>0</v>
      </c>
      <c r="AH498" s="410">
        <f t="shared" si="274"/>
        <v>0</v>
      </c>
      <c r="AI498" s="410">
        <f t="shared" si="274"/>
        <v>0</v>
      </c>
      <c r="AJ498" s="410">
        <f t="shared" si="274"/>
        <v>0</v>
      </c>
      <c r="AK498" s="410">
        <f t="shared" si="274"/>
        <v>0</v>
      </c>
      <c r="AL498" s="410">
        <f t="shared" si="274"/>
        <v>0</v>
      </c>
      <c r="AM498" s="297"/>
    </row>
    <row r="499" spans="2:39" ht="15.5" outlineLevel="1">
      <c r="B499" s="323"/>
      <c r="C499" s="291"/>
      <c r="D499" s="750"/>
      <c r="E499" s="750"/>
      <c r="F499" s="750"/>
      <c r="G499" s="750"/>
      <c r="H499" s="750"/>
      <c r="I499" s="750"/>
      <c r="J499" s="750"/>
      <c r="K499" s="750"/>
      <c r="L499" s="750"/>
      <c r="M499" s="750"/>
      <c r="N499" s="750"/>
      <c r="O499" s="750"/>
      <c r="P499" s="750"/>
      <c r="Q499" s="750"/>
      <c r="R499" s="750"/>
      <c r="S499" s="750"/>
      <c r="T499" s="750"/>
      <c r="U499" s="750"/>
      <c r="V499" s="750"/>
      <c r="W499" s="750"/>
      <c r="X499" s="750"/>
      <c r="Y499" s="772"/>
      <c r="Z499" s="772"/>
      <c r="AA499" s="772"/>
      <c r="AB499" s="772"/>
      <c r="AC499" s="772"/>
      <c r="AD499" s="772"/>
      <c r="AE499" s="772"/>
      <c r="AF499" s="420"/>
      <c r="AG499" s="420"/>
      <c r="AH499" s="420"/>
      <c r="AI499" s="420"/>
      <c r="AJ499" s="420"/>
      <c r="AK499" s="420"/>
      <c r="AL499" s="420"/>
      <c r="AM499" s="313"/>
    </row>
    <row r="500" spans="1:39" s="283" customFormat="1" ht="15.5" outlineLevel="1">
      <c r="A500" s="503">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59"/>
      <c r="Z500" s="759"/>
      <c r="AA500" s="759"/>
      <c r="AB500" s="759"/>
      <c r="AC500" s="759"/>
      <c r="AD500" s="759"/>
      <c r="AE500" s="759"/>
      <c r="AF500" s="409"/>
      <c r="AG500" s="409"/>
      <c r="AH500" s="409"/>
      <c r="AI500" s="409"/>
      <c r="AJ500" s="409"/>
      <c r="AK500" s="409"/>
      <c r="AL500" s="409"/>
      <c r="AM500" s="296">
        <f>SUM(Y500:AL500)</f>
        <v>0</v>
      </c>
    </row>
    <row r="501" spans="1:39" s="283" customFormat="1" ht="15.5" outlineLevel="1">
      <c r="A501" s="503"/>
      <c r="B501" s="323"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60">
        <f>Y500</f>
        <v>0</v>
      </c>
      <c r="Z501" s="760">
        <f t="shared" si="275" ref="Z501:AE501">Z500</f>
        <v>0</v>
      </c>
      <c r="AA501" s="760">
        <f t="shared" si="275"/>
        <v>0</v>
      </c>
      <c r="AB501" s="760">
        <f t="shared" si="275"/>
        <v>0</v>
      </c>
      <c r="AC501" s="760">
        <f t="shared" si="275"/>
        <v>0</v>
      </c>
      <c r="AD501" s="760">
        <f t="shared" si="275"/>
        <v>0</v>
      </c>
      <c r="AE501" s="760">
        <f t="shared" si="275"/>
        <v>0</v>
      </c>
      <c r="AF501" s="410">
        <f t="shared" si="276" ref="AF501:AL501">AF500</f>
        <v>0</v>
      </c>
      <c r="AG501" s="410">
        <f t="shared" si="276"/>
        <v>0</v>
      </c>
      <c r="AH501" s="410">
        <f t="shared" si="276"/>
        <v>0</v>
      </c>
      <c r="AI501" s="410">
        <f t="shared" si="276"/>
        <v>0</v>
      </c>
      <c r="AJ501" s="410">
        <f t="shared" si="276"/>
        <v>0</v>
      </c>
      <c r="AK501" s="410">
        <f t="shared" si="276"/>
        <v>0</v>
      </c>
      <c r="AL501" s="410">
        <f t="shared" si="276"/>
        <v>0</v>
      </c>
      <c r="AM501" s="297"/>
    </row>
    <row r="502" spans="1:39" s="283" customFormat="1" ht="15.5" outlineLevel="1">
      <c r="A502" s="503"/>
      <c r="B502" s="323"/>
      <c r="C502" s="291"/>
      <c r="D502" s="750"/>
      <c r="E502" s="750"/>
      <c r="F502" s="750"/>
      <c r="G502" s="750"/>
      <c r="H502" s="750"/>
      <c r="I502" s="750"/>
      <c r="J502" s="750"/>
      <c r="K502" s="750"/>
      <c r="L502" s="750"/>
      <c r="M502" s="750"/>
      <c r="N502" s="750"/>
      <c r="O502" s="750"/>
      <c r="P502" s="750"/>
      <c r="Q502" s="750"/>
      <c r="R502" s="750"/>
      <c r="S502" s="750"/>
      <c r="T502" s="750"/>
      <c r="U502" s="750"/>
      <c r="V502" s="750"/>
      <c r="W502" s="750"/>
      <c r="X502" s="750"/>
      <c r="Y502" s="761"/>
      <c r="Z502" s="761"/>
      <c r="AA502" s="761"/>
      <c r="AB502" s="761"/>
      <c r="AC502" s="761"/>
      <c r="AD502" s="761"/>
      <c r="AE502" s="761"/>
      <c r="AF502" s="411"/>
      <c r="AG502" s="411"/>
      <c r="AH502" s="411"/>
      <c r="AI502" s="411"/>
      <c r="AJ502" s="411"/>
      <c r="AK502" s="411"/>
      <c r="AL502" s="411"/>
      <c r="AM502" s="313"/>
    </row>
    <row r="503" spans="1:39" s="283" customFormat="1" ht="15.5" outlineLevel="1">
      <c r="A503" s="503"/>
      <c r="B503" s="288" t="s">
        <v>489</v>
      </c>
      <c r="C503" s="291"/>
      <c r="D503" s="750"/>
      <c r="E503" s="750"/>
      <c r="F503" s="750"/>
      <c r="G503" s="750"/>
      <c r="H503" s="750"/>
      <c r="I503" s="750"/>
      <c r="J503" s="750"/>
      <c r="K503" s="750"/>
      <c r="L503" s="750"/>
      <c r="M503" s="750"/>
      <c r="N503" s="750"/>
      <c r="O503" s="750"/>
      <c r="P503" s="750"/>
      <c r="Q503" s="750"/>
      <c r="R503" s="750"/>
      <c r="S503" s="750"/>
      <c r="T503" s="750"/>
      <c r="U503" s="750"/>
      <c r="V503" s="750"/>
      <c r="W503" s="750"/>
      <c r="X503" s="750"/>
      <c r="Y503" s="761"/>
      <c r="Z503" s="761"/>
      <c r="AA503" s="761"/>
      <c r="AB503" s="761"/>
      <c r="AC503" s="761"/>
      <c r="AD503" s="761"/>
      <c r="AE503" s="761"/>
      <c r="AF503" s="411"/>
      <c r="AG503" s="411"/>
      <c r="AH503" s="411"/>
      <c r="AI503" s="411"/>
      <c r="AJ503" s="411"/>
      <c r="AK503" s="411"/>
      <c r="AL503" s="411"/>
      <c r="AM503" s="313"/>
    </row>
    <row r="504" spans="1:39" s="283" customFormat="1" ht="15.5" outlineLevel="1">
      <c r="A504" s="503">
        <v>31</v>
      </c>
      <c r="B504" s="323"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759"/>
      <c r="Z504" s="759"/>
      <c r="AA504" s="759"/>
      <c r="AB504" s="759"/>
      <c r="AC504" s="759"/>
      <c r="AD504" s="759"/>
      <c r="AE504" s="759"/>
      <c r="AF504" s="409"/>
      <c r="AG504" s="409"/>
      <c r="AH504" s="409"/>
      <c r="AI504" s="409"/>
      <c r="AJ504" s="409"/>
      <c r="AK504" s="409"/>
      <c r="AL504" s="409"/>
      <c r="AM504" s="296">
        <f>SUM(Y504:AL504)</f>
        <v>0</v>
      </c>
    </row>
    <row r="505" spans="1:39" s="283" customFormat="1" ht="15.5" outlineLevel="1">
      <c r="A505" s="503"/>
      <c r="B505" s="323"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60">
        <f>Y504</f>
        <v>0</v>
      </c>
      <c r="Z505" s="760">
        <f t="shared" si="277" ref="Z505:AE505">Z504</f>
        <v>0</v>
      </c>
      <c r="AA505" s="760">
        <f t="shared" si="277"/>
        <v>0</v>
      </c>
      <c r="AB505" s="760">
        <f t="shared" si="277"/>
        <v>0</v>
      </c>
      <c r="AC505" s="760">
        <f t="shared" si="277"/>
        <v>0</v>
      </c>
      <c r="AD505" s="760">
        <f t="shared" si="277"/>
        <v>0</v>
      </c>
      <c r="AE505" s="760">
        <f t="shared" si="277"/>
        <v>0</v>
      </c>
      <c r="AF505" s="410">
        <f t="shared" si="278" ref="AF505:AL505">AF504</f>
        <v>0</v>
      </c>
      <c r="AG505" s="410">
        <f t="shared" si="278"/>
        <v>0</v>
      </c>
      <c r="AH505" s="410">
        <f t="shared" si="278"/>
        <v>0</v>
      </c>
      <c r="AI505" s="410">
        <f t="shared" si="278"/>
        <v>0</v>
      </c>
      <c r="AJ505" s="410">
        <f t="shared" si="278"/>
        <v>0</v>
      </c>
      <c r="AK505" s="410">
        <f t="shared" si="278"/>
        <v>0</v>
      </c>
      <c r="AL505" s="410">
        <f t="shared" si="278"/>
        <v>0</v>
      </c>
      <c r="AM505" s="297"/>
    </row>
    <row r="506" spans="1:39" s="283" customFormat="1" ht="15.5" outlineLevel="1">
      <c r="A506" s="503"/>
      <c r="B506" s="323"/>
      <c r="C506" s="291"/>
      <c r="D506" s="750"/>
      <c r="E506" s="750"/>
      <c r="F506" s="750"/>
      <c r="G506" s="750"/>
      <c r="H506" s="750"/>
      <c r="I506" s="750"/>
      <c r="J506" s="750"/>
      <c r="K506" s="750"/>
      <c r="L506" s="750"/>
      <c r="M506" s="750"/>
      <c r="N506" s="750"/>
      <c r="O506" s="750"/>
      <c r="P506" s="750"/>
      <c r="Q506" s="750"/>
      <c r="R506" s="750"/>
      <c r="S506" s="750"/>
      <c r="T506" s="750"/>
      <c r="U506" s="750"/>
      <c r="V506" s="750"/>
      <c r="W506" s="750"/>
      <c r="X506" s="750"/>
      <c r="Y506" s="761"/>
      <c r="Z506" s="761"/>
      <c r="AA506" s="761"/>
      <c r="AB506" s="761"/>
      <c r="AC506" s="761"/>
      <c r="AD506" s="761"/>
      <c r="AE506" s="761"/>
      <c r="AF506" s="411"/>
      <c r="AG506" s="411"/>
      <c r="AH506" s="411"/>
      <c r="AI506" s="411"/>
      <c r="AJ506" s="411"/>
      <c r="AK506" s="411"/>
      <c r="AL506" s="411"/>
      <c r="AM506" s="313"/>
    </row>
    <row r="507" spans="1:39" s="283" customFormat="1" ht="15.5" outlineLevel="1">
      <c r="A507" s="503">
        <v>32</v>
      </c>
      <c r="B507" s="323" t="s">
        <v>491</v>
      </c>
      <c r="C507" s="291" t="s">
        <v>25</v>
      </c>
      <c r="D507" s="295">
        <f>'7.  Persistence Report'!AT100</f>
        <v>0</v>
      </c>
      <c r="E507" s="295">
        <f>'7.  Persistence Report'!AU100</f>
        <v>0</v>
      </c>
      <c r="F507" s="295">
        <f>'7.  Persistence Report'!AV100</f>
        <v>0</v>
      </c>
      <c r="G507" s="295">
        <f>'7.  Persistence Report'!AW100</f>
        <v>0</v>
      </c>
      <c r="H507" s="295">
        <f>'7.  Persistence Report'!AX100</f>
        <v>0</v>
      </c>
      <c r="I507" s="295">
        <f>'7.  Persistence Report'!AY100</f>
        <v>0</v>
      </c>
      <c r="J507" s="295">
        <f>'7.  Persistence Report'!AZ100</f>
        <v>0</v>
      </c>
      <c r="K507" s="295">
        <f>'7.  Persistence Report'!BA100</f>
        <v>0</v>
      </c>
      <c r="L507" s="295">
        <f>'7.  Persistence Report'!BB100</f>
        <v>0</v>
      </c>
      <c r="M507" s="295">
        <f>'7.  Persistence Report'!BC100</f>
        <v>0</v>
      </c>
      <c r="N507" s="295">
        <v>0</v>
      </c>
      <c r="O507" s="295">
        <f>'7.  Persistence Report'!O100</f>
        <v>253.36968239999996</v>
      </c>
      <c r="P507" s="295">
        <f>'7.  Persistence Report'!P100</f>
        <v>0</v>
      </c>
      <c r="Q507" s="295">
        <f>'7.  Persistence Report'!Q100</f>
        <v>0</v>
      </c>
      <c r="R507" s="295">
        <f>'7.  Persistence Report'!R100</f>
        <v>0</v>
      </c>
      <c r="S507" s="295">
        <f>'7.  Persistence Report'!S100</f>
        <v>0</v>
      </c>
      <c r="T507" s="295">
        <f>'7.  Persistence Report'!T100</f>
        <v>0</v>
      </c>
      <c r="U507" s="295">
        <f>'7.  Persistence Report'!U100</f>
        <v>0</v>
      </c>
      <c r="V507" s="295">
        <f>'7.  Persistence Report'!V100</f>
        <v>0</v>
      </c>
      <c r="W507" s="295">
        <f>'7.  Persistence Report'!W100</f>
        <v>0</v>
      </c>
      <c r="X507" s="295">
        <f>'7.  Persistence Report'!X100</f>
        <v>0</v>
      </c>
      <c r="Y507" s="759"/>
      <c r="Z507" s="759"/>
      <c r="AA507" s="759"/>
      <c r="AB507" s="759"/>
      <c r="AC507" s="759"/>
      <c r="AD507" s="759"/>
      <c r="AE507" s="759"/>
      <c r="AF507" s="409"/>
      <c r="AG507" s="409"/>
      <c r="AH507" s="409"/>
      <c r="AI507" s="409"/>
      <c r="AJ507" s="409"/>
      <c r="AK507" s="409"/>
      <c r="AL507" s="409"/>
      <c r="AM507" s="296">
        <f>SUM(Y507:AL507)</f>
        <v>0</v>
      </c>
    </row>
    <row r="508" spans="1:39" s="283" customFormat="1" ht="15.5" outlineLevel="1">
      <c r="A508" s="503"/>
      <c r="B508" s="323"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60">
        <f>Y507</f>
        <v>0</v>
      </c>
      <c r="Z508" s="760">
        <f t="shared" si="279" ref="Z508:AE508">Z507</f>
        <v>0</v>
      </c>
      <c r="AA508" s="760">
        <f t="shared" si="279"/>
        <v>0</v>
      </c>
      <c r="AB508" s="760">
        <f t="shared" si="279"/>
        <v>0</v>
      </c>
      <c r="AC508" s="760">
        <f t="shared" si="279"/>
        <v>0</v>
      </c>
      <c r="AD508" s="760">
        <f t="shared" si="279"/>
        <v>0</v>
      </c>
      <c r="AE508" s="760">
        <f t="shared" si="279"/>
        <v>0</v>
      </c>
      <c r="AF508" s="410">
        <f t="shared" si="280" ref="AF508:AL508">AF507</f>
        <v>0</v>
      </c>
      <c r="AG508" s="410">
        <f t="shared" si="280"/>
        <v>0</v>
      </c>
      <c r="AH508" s="410">
        <f t="shared" si="280"/>
        <v>0</v>
      </c>
      <c r="AI508" s="410">
        <f t="shared" si="280"/>
        <v>0</v>
      </c>
      <c r="AJ508" s="410">
        <f t="shared" si="280"/>
        <v>0</v>
      </c>
      <c r="AK508" s="410">
        <f t="shared" si="280"/>
        <v>0</v>
      </c>
      <c r="AL508" s="410">
        <f t="shared" si="280"/>
        <v>0</v>
      </c>
      <c r="AM508" s="297"/>
    </row>
    <row r="509" spans="1:39" s="283" customFormat="1" ht="15.5" outlineLevel="1">
      <c r="A509" s="503"/>
      <c r="B509" s="323"/>
      <c r="C509" s="291"/>
      <c r="D509" s="750"/>
      <c r="E509" s="750"/>
      <c r="F509" s="750"/>
      <c r="G509" s="750"/>
      <c r="H509" s="750"/>
      <c r="I509" s="750"/>
      <c r="J509" s="750"/>
      <c r="K509" s="750"/>
      <c r="L509" s="750"/>
      <c r="M509" s="750"/>
      <c r="N509" s="750"/>
      <c r="O509" s="750"/>
      <c r="P509" s="750"/>
      <c r="Q509" s="750"/>
      <c r="R509" s="750"/>
      <c r="S509" s="750"/>
      <c r="T509" s="750"/>
      <c r="U509" s="750"/>
      <c r="V509" s="750"/>
      <c r="W509" s="750"/>
      <c r="X509" s="750"/>
      <c r="Y509" s="761"/>
      <c r="Z509" s="761"/>
      <c r="AA509" s="761"/>
      <c r="AB509" s="761"/>
      <c r="AC509" s="761"/>
      <c r="AD509" s="761"/>
      <c r="AE509" s="761"/>
      <c r="AF509" s="411"/>
      <c r="AG509" s="411"/>
      <c r="AH509" s="411"/>
      <c r="AI509" s="411"/>
      <c r="AJ509" s="411"/>
      <c r="AK509" s="411"/>
      <c r="AL509" s="411"/>
      <c r="AM509" s="313"/>
    </row>
    <row r="510" spans="1:39" s="283" customFormat="1" ht="15.5" outlineLevel="1">
      <c r="A510" s="503">
        <v>33</v>
      </c>
      <c r="B510" s="323"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759"/>
      <c r="Z510" s="759"/>
      <c r="AA510" s="759"/>
      <c r="AB510" s="759"/>
      <c r="AC510" s="759"/>
      <c r="AD510" s="759"/>
      <c r="AE510" s="759"/>
      <c r="AF510" s="409"/>
      <c r="AG510" s="409"/>
      <c r="AH510" s="409"/>
      <c r="AI510" s="409"/>
      <c r="AJ510" s="409"/>
      <c r="AK510" s="409"/>
      <c r="AL510" s="409"/>
      <c r="AM510" s="296">
        <f>SUM(Y510:AL510)</f>
        <v>0</v>
      </c>
    </row>
    <row r="511" spans="1:39" s="283" customFormat="1" ht="15.5" outlineLevel="1">
      <c r="A511" s="503"/>
      <c r="B511" s="323"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60">
        <f>Y510</f>
        <v>0</v>
      </c>
      <c r="Z511" s="760">
        <f t="shared" si="281" ref="Z511:AE511">Z510</f>
        <v>0</v>
      </c>
      <c r="AA511" s="760">
        <f t="shared" si="281"/>
        <v>0</v>
      </c>
      <c r="AB511" s="760">
        <f t="shared" si="281"/>
        <v>0</v>
      </c>
      <c r="AC511" s="760">
        <f t="shared" si="281"/>
        <v>0</v>
      </c>
      <c r="AD511" s="760">
        <f t="shared" si="281"/>
        <v>0</v>
      </c>
      <c r="AE511" s="760">
        <f t="shared" si="281"/>
        <v>0</v>
      </c>
      <c r="AF511" s="410">
        <f t="shared" si="282" ref="AF511:AK511">AF510</f>
        <v>0</v>
      </c>
      <c r="AG511" s="410">
        <f t="shared" si="282"/>
        <v>0</v>
      </c>
      <c r="AH511" s="410">
        <f t="shared" si="282"/>
        <v>0</v>
      </c>
      <c r="AI511" s="410">
        <f t="shared" si="282"/>
        <v>0</v>
      </c>
      <c r="AJ511" s="410">
        <f t="shared" si="282"/>
        <v>0</v>
      </c>
      <c r="AK511" s="410">
        <f t="shared" si="282"/>
        <v>0</v>
      </c>
      <c r="AL511" s="410">
        <f>AL510</f>
        <v>0</v>
      </c>
      <c r="AM511" s="297"/>
    </row>
    <row r="512" spans="2:39" ht="15.5" outlineLevel="1">
      <c r="B512" s="315"/>
      <c r="C512" s="324"/>
      <c r="D512" s="291"/>
      <c r="E512" s="291"/>
      <c r="F512" s="291"/>
      <c r="G512" s="291"/>
      <c r="H512" s="291"/>
      <c r="I512" s="291"/>
      <c r="J512" s="291"/>
      <c r="K512" s="291"/>
      <c r="L512" s="291"/>
      <c r="M512" s="291"/>
      <c r="N512" s="300"/>
      <c r="O512" s="291"/>
      <c r="P512" s="325"/>
      <c r="Q512" s="325"/>
      <c r="R512" s="325"/>
      <c r="S512" s="325"/>
      <c r="T512" s="325"/>
      <c r="U512" s="325"/>
      <c r="V512" s="325"/>
      <c r="W512" s="325"/>
      <c r="X512" s="325"/>
      <c r="Y512" s="301"/>
      <c r="Z512" s="301"/>
      <c r="AA512" s="301"/>
      <c r="AB512" s="301"/>
      <c r="AC512" s="301"/>
      <c r="AD512" s="301"/>
      <c r="AE512" s="301"/>
      <c r="AF512" s="301"/>
      <c r="AG512" s="301"/>
      <c r="AH512" s="301"/>
      <c r="AI512" s="301"/>
      <c r="AJ512" s="301"/>
      <c r="AK512" s="301"/>
      <c r="AL512" s="301"/>
      <c r="AM512" s="306"/>
    </row>
    <row r="513" spans="2:39" ht="15.5">
      <c r="B513" s="326" t="s">
        <v>260</v>
      </c>
      <c r="C513" s="328"/>
      <c r="D513" s="328">
        <f>SUM(D408:D511)</f>
        <v>3124600.3824996725</v>
      </c>
      <c r="E513" s="328"/>
      <c r="F513" s="328"/>
      <c r="G513" s="328"/>
      <c r="H513" s="328"/>
      <c r="I513" s="328"/>
      <c r="J513" s="328"/>
      <c r="K513" s="328"/>
      <c r="L513" s="328"/>
      <c r="M513" s="328"/>
      <c r="N513" s="328"/>
      <c r="O513" s="328">
        <f>SUM(O408:O511)</f>
        <v>793.03098925559561</v>
      </c>
      <c r="P513" s="328"/>
      <c r="Q513" s="328"/>
      <c r="R513" s="328"/>
      <c r="S513" s="328"/>
      <c r="T513" s="328"/>
      <c r="U513" s="328"/>
      <c r="V513" s="328"/>
      <c r="W513" s="328"/>
      <c r="X513" s="328"/>
      <c r="Y513" s="328">
        <f>IF(Y407="kWh",SUMPRODUCT(D408:D511,Y408:Y511))</f>
        <v>1237902.9111696722</v>
      </c>
      <c r="Z513" s="328">
        <f>IF(Z407="kWh",SUMPRODUCT(D408:D511,Z408:Z511))</f>
        <v>541812.35390750004</v>
      </c>
      <c r="AA513" s="328">
        <f>IF(AA407="kW",SUMPRODUCT(N408:N511,O408:O511,AA408:AA511),SUMPRODUCT(D408:D511,AA408:AA511))</f>
        <v>2329.6945061472002</v>
      </c>
      <c r="AB513" s="328">
        <f>IF(AB407="kW",SUMPRODUCT(N408:N511,O408:O511,AB408:AB511),SUMPRODUCT(D408:D511,AB408:AB511))</f>
        <v>563.85029888279996</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39" ht="15.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39" ht="15.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39" ht="15.5">
      <c r="B516" s="323" t="s">
        <v>167</v>
      </c>
      <c r="C516" s="337"/>
      <c r="D516" s="337"/>
      <c r="E516" s="375"/>
      <c r="F516" s="375"/>
      <c r="G516" s="375"/>
      <c r="H516" s="375"/>
      <c r="I516" s="375"/>
      <c r="J516" s="375"/>
      <c r="K516" s="375"/>
      <c r="L516" s="375"/>
      <c r="M516" s="375"/>
      <c r="N516" s="375"/>
      <c r="O516" s="291"/>
      <c r="P516" s="339"/>
      <c r="Q516" s="339"/>
      <c r="R516" s="339"/>
      <c r="S516" s="338"/>
      <c r="T516" s="338"/>
      <c r="U516" s="338"/>
      <c r="V516" s="338"/>
      <c r="W516" s="339"/>
      <c r="X516" s="339"/>
      <c r="Y516" s="340"/>
      <c r="Z516" s="340"/>
      <c r="AA516" s="340"/>
      <c r="AB516" s="340"/>
      <c r="AC516" s="340"/>
      <c r="AD516" s="340"/>
      <c r="AE516" s="340"/>
      <c r="AF516" s="340"/>
      <c r="AG516" s="340"/>
      <c r="AH516" s="340"/>
      <c r="AI516" s="340"/>
      <c r="AJ516" s="340"/>
      <c r="AK516" s="340"/>
      <c r="AL516" s="340"/>
      <c r="AM516" s="400"/>
    </row>
    <row r="517" spans="2:41" ht="15.5">
      <c r="B517" s="323" t="s">
        <v>159</v>
      </c>
      <c r="C517" s="344"/>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7">
        <f>Y137*Y516</f>
        <v>0</v>
      </c>
      <c r="Z517" s="377">
        <f t="shared" si="283" ref="Z517:AL517">Z137*Z516</f>
        <v>0</v>
      </c>
      <c r="AA517" s="377">
        <f t="shared" si="283"/>
        <v>0</v>
      </c>
      <c r="AB517" s="377">
        <f t="shared" si="283"/>
        <v>0</v>
      </c>
      <c r="AC517" s="377">
        <f t="shared" si="283"/>
        <v>0</v>
      </c>
      <c r="AD517" s="377">
        <f t="shared" si="283"/>
        <v>0</v>
      </c>
      <c r="AE517" s="377">
        <f t="shared" si="283"/>
        <v>0</v>
      </c>
      <c r="AF517" s="377">
        <f t="shared" si="283"/>
        <v>0</v>
      </c>
      <c r="AG517" s="377">
        <f t="shared" si="283"/>
        <v>0</v>
      </c>
      <c r="AH517" s="377">
        <f t="shared" si="283"/>
        <v>0</v>
      </c>
      <c r="AI517" s="377">
        <f t="shared" si="283"/>
        <v>0</v>
      </c>
      <c r="AJ517" s="377">
        <f t="shared" si="283"/>
        <v>0</v>
      </c>
      <c r="AK517" s="377">
        <f t="shared" si="283"/>
        <v>0</v>
      </c>
      <c r="AL517" s="377">
        <f t="shared" si="283"/>
        <v>0</v>
      </c>
      <c r="AM517" s="622">
        <f>SUM(Y517:AL517)</f>
        <v>0</v>
      </c>
      <c r="AO517" s="283"/>
    </row>
    <row r="518" spans="2:39" ht="15.5">
      <c r="B518" s="323" t="s">
        <v>160</v>
      </c>
      <c r="C518" s="344"/>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7">
        <f>Y266*Y516</f>
        <v>0</v>
      </c>
      <c r="Z518" s="377">
        <f t="shared" si="284" ref="Z518:AL518">Z266*Z516</f>
        <v>0</v>
      </c>
      <c r="AA518" s="377">
        <f t="shared" si="284"/>
        <v>0</v>
      </c>
      <c r="AB518" s="377">
        <f t="shared" si="284"/>
        <v>0</v>
      </c>
      <c r="AC518" s="377">
        <f t="shared" si="284"/>
        <v>0</v>
      </c>
      <c r="AD518" s="377">
        <f t="shared" si="284"/>
        <v>0</v>
      </c>
      <c r="AE518" s="377">
        <f t="shared" si="284"/>
        <v>0</v>
      </c>
      <c r="AF518" s="377">
        <f t="shared" si="284"/>
        <v>0</v>
      </c>
      <c r="AG518" s="377">
        <f t="shared" si="284"/>
        <v>0</v>
      </c>
      <c r="AH518" s="377">
        <f t="shared" si="284"/>
        <v>0</v>
      </c>
      <c r="AI518" s="377">
        <f t="shared" si="284"/>
        <v>0</v>
      </c>
      <c r="AJ518" s="377">
        <f t="shared" si="284"/>
        <v>0</v>
      </c>
      <c r="AK518" s="377">
        <f t="shared" si="284"/>
        <v>0</v>
      </c>
      <c r="AL518" s="377">
        <f t="shared" si="284"/>
        <v>0</v>
      </c>
      <c r="AM518" s="622">
        <f>SUM(Y518:AL518)</f>
        <v>0</v>
      </c>
    </row>
    <row r="519" spans="2:39" ht="15.5">
      <c r="B519" s="323" t="s">
        <v>161</v>
      </c>
      <c r="C519" s="344"/>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7">
        <f>Y395*Y516</f>
        <v>0</v>
      </c>
      <c r="Z519" s="377">
        <f t="shared" si="285" ref="Z519:AL519">Z395*Z516</f>
        <v>0</v>
      </c>
      <c r="AA519" s="377">
        <f t="shared" si="285"/>
        <v>0</v>
      </c>
      <c r="AB519" s="377">
        <f t="shared" si="285"/>
        <v>0</v>
      </c>
      <c r="AC519" s="377">
        <f t="shared" si="285"/>
        <v>0</v>
      </c>
      <c r="AD519" s="377">
        <f t="shared" si="285"/>
        <v>0</v>
      </c>
      <c r="AE519" s="377">
        <f t="shared" si="285"/>
        <v>0</v>
      </c>
      <c r="AF519" s="377">
        <f t="shared" si="285"/>
        <v>0</v>
      </c>
      <c r="AG519" s="377">
        <f t="shared" si="285"/>
        <v>0</v>
      </c>
      <c r="AH519" s="377">
        <f t="shared" si="285"/>
        <v>0</v>
      </c>
      <c r="AI519" s="377">
        <f t="shared" si="285"/>
        <v>0</v>
      </c>
      <c r="AJ519" s="377">
        <f t="shared" si="285"/>
        <v>0</v>
      </c>
      <c r="AK519" s="377">
        <f t="shared" si="285"/>
        <v>0</v>
      </c>
      <c r="AL519" s="377">
        <f t="shared" si="285"/>
        <v>0</v>
      </c>
      <c r="AM519" s="622">
        <f>SUM(Y519:AL519)</f>
        <v>0</v>
      </c>
    </row>
    <row r="520" spans="2:39" ht="15.5">
      <c r="B520" s="323" t="s">
        <v>162</v>
      </c>
      <c r="C520" s="344"/>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7">
        <f>Y513*Y516</f>
        <v>0</v>
      </c>
      <c r="Z520" s="377">
        <f t="shared" si="286" ref="Z520:AK520">Z513*Z516</f>
        <v>0</v>
      </c>
      <c r="AA520" s="377">
        <f t="shared" si="286"/>
        <v>0</v>
      </c>
      <c r="AB520" s="377">
        <f t="shared" si="286"/>
        <v>0</v>
      </c>
      <c r="AC520" s="377">
        <f t="shared" si="286"/>
        <v>0</v>
      </c>
      <c r="AD520" s="377">
        <f t="shared" si="286"/>
        <v>0</v>
      </c>
      <c r="AE520" s="377">
        <f t="shared" si="286"/>
        <v>0</v>
      </c>
      <c r="AF520" s="377">
        <f t="shared" si="286"/>
        <v>0</v>
      </c>
      <c r="AG520" s="377">
        <f t="shared" si="286"/>
        <v>0</v>
      </c>
      <c r="AH520" s="377">
        <f t="shared" si="286"/>
        <v>0</v>
      </c>
      <c r="AI520" s="377">
        <f>AI513*AI516</f>
        <v>0</v>
      </c>
      <c r="AJ520" s="377">
        <f t="shared" si="286"/>
        <v>0</v>
      </c>
      <c r="AK520" s="377">
        <f t="shared" si="286"/>
        <v>0</v>
      </c>
      <c r="AL520" s="377">
        <f>AL513*AL516</f>
        <v>0</v>
      </c>
      <c r="AM520" s="622">
        <f>SUM(Y520:AL520)</f>
        <v>0</v>
      </c>
    </row>
    <row r="521" spans="2:39" ht="15.5">
      <c r="B521" s="348" t="s">
        <v>262</v>
      </c>
      <c r="C521" s="344"/>
      <c r="D521" s="335"/>
      <c r="E521" s="333"/>
      <c r="F521" s="333"/>
      <c r="G521" s="333"/>
      <c r="H521" s="333"/>
      <c r="I521" s="333"/>
      <c r="J521" s="333"/>
      <c r="K521" s="333"/>
      <c r="L521" s="333"/>
      <c r="M521" s="333"/>
      <c r="N521" s="333"/>
      <c r="O521" s="300"/>
      <c r="P521" s="333"/>
      <c r="Q521" s="333"/>
      <c r="R521" s="333"/>
      <c r="S521" s="335"/>
      <c r="T521" s="335"/>
      <c r="U521" s="335"/>
      <c r="V521" s="335"/>
      <c r="W521" s="333"/>
      <c r="X521" s="333"/>
      <c r="Y521" s="345">
        <f>SUM(Y517:Y520)</f>
        <v>0</v>
      </c>
      <c r="Z521" s="345">
        <f t="shared" si="287" ref="Z521:AK521">SUM(Z517:Z520)</f>
        <v>0</v>
      </c>
      <c r="AA521" s="345">
        <f t="shared" si="287"/>
        <v>0</v>
      </c>
      <c r="AB521" s="345">
        <f t="shared" si="287"/>
        <v>0</v>
      </c>
      <c r="AC521" s="345">
        <f t="shared" si="287"/>
        <v>0</v>
      </c>
      <c r="AD521" s="345">
        <f t="shared" si="287"/>
        <v>0</v>
      </c>
      <c r="AE521" s="345">
        <f t="shared" si="287"/>
        <v>0</v>
      </c>
      <c r="AF521" s="345">
        <f t="shared" si="287"/>
        <v>0</v>
      </c>
      <c r="AG521" s="345">
        <f t="shared" si="287"/>
        <v>0</v>
      </c>
      <c r="AH521" s="345">
        <f t="shared" si="287"/>
        <v>0</v>
      </c>
      <c r="AI521" s="345">
        <f t="shared" si="287"/>
        <v>0</v>
      </c>
      <c r="AJ521" s="345">
        <f t="shared" si="287"/>
        <v>0</v>
      </c>
      <c r="AK521" s="345">
        <f t="shared" si="287"/>
        <v>0</v>
      </c>
      <c r="AL521" s="345">
        <f>SUM(AL517:AL520)</f>
        <v>0</v>
      </c>
      <c r="AM521" s="406">
        <f>SUM(AM517:AM520)</f>
        <v>0</v>
      </c>
    </row>
    <row r="522" spans="2:39" ht="15.5">
      <c r="B522" s="348" t="s">
        <v>263</v>
      </c>
      <c r="C522" s="344"/>
      <c r="D522" s="349"/>
      <c r="E522" s="333"/>
      <c r="F522" s="333"/>
      <c r="G522" s="333"/>
      <c r="H522" s="333"/>
      <c r="I522" s="333"/>
      <c r="J522" s="333"/>
      <c r="K522" s="333"/>
      <c r="L522" s="333"/>
      <c r="M522" s="333"/>
      <c r="N522" s="333"/>
      <c r="O522" s="300"/>
      <c r="P522" s="333"/>
      <c r="Q522" s="333"/>
      <c r="R522" s="333"/>
      <c r="S522" s="335"/>
      <c r="T522" s="335"/>
      <c r="U522" s="335"/>
      <c r="V522" s="335"/>
      <c r="W522" s="333"/>
      <c r="X522" s="333"/>
      <c r="Y522" s="346">
        <f>Y514*Y516</f>
        <v>0</v>
      </c>
      <c r="Z522" s="346">
        <f t="shared" si="288" ref="Z522:AJ522">Z514*Z516</f>
        <v>0</v>
      </c>
      <c r="AA522" s="346">
        <f>AA514*AA516</f>
        <v>0</v>
      </c>
      <c r="AB522" s="346">
        <f t="shared" si="288"/>
        <v>0</v>
      </c>
      <c r="AC522" s="346">
        <f t="shared" si="288"/>
        <v>0</v>
      </c>
      <c r="AD522" s="346">
        <f>AD514*AD516</f>
        <v>0</v>
      </c>
      <c r="AE522" s="346">
        <f t="shared" si="288"/>
        <v>0</v>
      </c>
      <c r="AF522" s="346">
        <f t="shared" si="288"/>
        <v>0</v>
      </c>
      <c r="AG522" s="346">
        <f t="shared" si="288"/>
        <v>0</v>
      </c>
      <c r="AH522" s="346">
        <f t="shared" si="288"/>
        <v>0</v>
      </c>
      <c r="AI522" s="346">
        <f t="shared" si="288"/>
        <v>0</v>
      </c>
      <c r="AJ522" s="346">
        <f t="shared" si="288"/>
        <v>0</v>
      </c>
      <c r="AK522" s="346">
        <f>AK514*AK516</f>
        <v>0</v>
      </c>
      <c r="AL522" s="346">
        <f>AL514*AL516</f>
        <v>0</v>
      </c>
      <c r="AM522" s="406">
        <f>SUM(Y522:AL522)</f>
        <v>0</v>
      </c>
    </row>
    <row r="523" spans="2:39" ht="15.5">
      <c r="B523" s="348" t="s">
        <v>265</v>
      </c>
      <c r="C523" s="344"/>
      <c r="D523" s="349"/>
      <c r="E523" s="333"/>
      <c r="F523" s="333"/>
      <c r="G523" s="333"/>
      <c r="H523" s="333"/>
      <c r="I523" s="333"/>
      <c r="J523" s="333"/>
      <c r="K523" s="333"/>
      <c r="L523" s="333"/>
      <c r="M523" s="333"/>
      <c r="N523" s="333"/>
      <c r="O523" s="300"/>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39" ht="15.5">
      <c r="B524" s="348"/>
      <c r="C524" s="344"/>
      <c r="D524" s="349"/>
      <c r="E524" s="333"/>
      <c r="F524" s="333"/>
      <c r="G524" s="333"/>
      <c r="H524" s="333"/>
      <c r="I524" s="333"/>
      <c r="J524" s="333"/>
      <c r="K524" s="333"/>
      <c r="L524" s="333"/>
      <c r="M524" s="333"/>
      <c r="N524" s="333"/>
      <c r="O524" s="300"/>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39" ht="15.5">
      <c r="B525" s="348"/>
      <c r="C525" s="344"/>
      <c r="D525" s="349"/>
      <c r="E525" s="333"/>
      <c r="F525" s="333"/>
      <c r="G525" s="333"/>
      <c r="H525" s="333"/>
      <c r="I525" s="333"/>
      <c r="J525" s="333"/>
      <c r="K525" s="333"/>
      <c r="L525" s="333"/>
      <c r="M525" s="333"/>
      <c r="N525" s="333"/>
      <c r="O525" s="300"/>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39" ht="15.5">
      <c r="B526" s="323" t="s">
        <v>201</v>
      </c>
      <c r="C526" s="349"/>
      <c r="D526" s="349"/>
      <c r="E526" s="333"/>
      <c r="F526" s="333"/>
      <c r="G526" s="333"/>
      <c r="H526" s="333"/>
      <c r="I526" s="333"/>
      <c r="J526" s="333"/>
      <c r="K526" s="333"/>
      <c r="L526" s="333"/>
      <c r="M526" s="333"/>
      <c r="N526" s="333"/>
      <c r="O526" s="300"/>
      <c r="P526" s="333"/>
      <c r="Q526" s="333"/>
      <c r="R526" s="333"/>
      <c r="S526" s="349"/>
      <c r="T526" s="344"/>
      <c r="U526" s="349"/>
      <c r="V526" s="349"/>
      <c r="W526" s="333"/>
      <c r="X526" s="333"/>
      <c r="Y526" s="291">
        <f>SUMPRODUCT(E408:E511,Y408:Y511)</f>
        <v>1137516.263369672</v>
      </c>
      <c r="Z526" s="291">
        <f>SUMPRODUCT(E408:E511,Z408:Z511)</f>
        <v>541694.38363000005</v>
      </c>
      <c r="AA526" s="291">
        <f>IF(AA407="kW",SUMPRODUCT(N408:N511,P408:P511,AA408:AA511),SUMPRODUCT(E408:E511,AA408:AA511))</f>
        <v>2328.6532095232801</v>
      </c>
      <c r="AB526" s="291">
        <f>IF(AB407="kW",SUMPRODUCT(N408:N511,P408:P511,AB408:AB511),SUMPRODUCT(E408:E511,AB408:AB511))</f>
        <v>563.71978170971988</v>
      </c>
      <c r="AC526" s="291">
        <f>IF(AC407="kW",SUMPRODUCT(N408:N511,P408:P511,AC408:AC511),SUMPRODUCT(E408:E511,AC408:AC511))</f>
        <v>0</v>
      </c>
      <c r="AD526" s="291">
        <f>IF(AD407="kW",SUMPRODUCT(N408:N511,P408:P511,AD408:AD511),SUMPRODUCT(E408:E511,AD408:AD511))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2"/>
    </row>
    <row r="527" spans="2:39" ht="15.5">
      <c r="B527" s="323" t="s">
        <v>202</v>
      </c>
      <c r="C527" s="355"/>
      <c r="D527" s="279"/>
      <c r="E527" s="279"/>
      <c r="F527" s="279"/>
      <c r="G527" s="279"/>
      <c r="H527" s="279"/>
      <c r="I527" s="279"/>
      <c r="J527" s="279"/>
      <c r="K527" s="279"/>
      <c r="L527" s="279"/>
      <c r="M527" s="279"/>
      <c r="N527" s="279"/>
      <c r="O527" s="356"/>
      <c r="P527" s="279"/>
      <c r="Q527" s="279"/>
      <c r="R527" s="279"/>
      <c r="S527" s="304"/>
      <c r="T527" s="309"/>
      <c r="U527" s="309"/>
      <c r="V527" s="279"/>
      <c r="W527" s="279"/>
      <c r="X527" s="309"/>
      <c r="Y527" s="291"/>
      <c r="Z527" s="291"/>
      <c r="AA527" s="291"/>
      <c r="AB527" s="291"/>
      <c r="AC527" s="291"/>
      <c r="AD527" s="291"/>
      <c r="AE527" s="291"/>
      <c r="AF527" s="291"/>
      <c r="AG527" s="291"/>
      <c r="AH527" s="291"/>
      <c r="AI527" s="291"/>
      <c r="AJ527" s="291"/>
      <c r="AK527" s="291"/>
      <c r="AL527" s="291"/>
      <c r="AM527" s="336"/>
    </row>
    <row r="528" spans="2:39" ht="15.5">
      <c r="B528" s="323" t="s">
        <v>203</v>
      </c>
      <c r="C528" s="355"/>
      <c r="D528" s="279"/>
      <c r="E528" s="279"/>
      <c r="F528" s="279"/>
      <c r="G528" s="279"/>
      <c r="H528" s="279"/>
      <c r="I528" s="279"/>
      <c r="J528" s="279"/>
      <c r="K528" s="279"/>
      <c r="L528" s="279"/>
      <c r="M528" s="279"/>
      <c r="N528" s="279"/>
      <c r="O528" s="356"/>
      <c r="P528" s="279"/>
      <c r="Q528" s="279"/>
      <c r="R528" s="279"/>
      <c r="S528" s="304"/>
      <c r="T528" s="309"/>
      <c r="U528" s="309"/>
      <c r="V528" s="279"/>
      <c r="W528" s="279"/>
      <c r="X528" s="309"/>
      <c r="Y528" s="291"/>
      <c r="Z528" s="291"/>
      <c r="AA528" s="291"/>
      <c r="AB528" s="291"/>
      <c r="AC528" s="291"/>
      <c r="AD528" s="291"/>
      <c r="AE528" s="291"/>
      <c r="AF528" s="291"/>
      <c r="AG528" s="291"/>
      <c r="AH528" s="291"/>
      <c r="AI528" s="291"/>
      <c r="AJ528" s="291"/>
      <c r="AK528" s="291"/>
      <c r="AL528" s="291"/>
      <c r="AM528" s="336"/>
    </row>
    <row r="529" spans="2:39" ht="15.5">
      <c r="B529" s="323" t="s">
        <v>204</v>
      </c>
      <c r="C529" s="355"/>
      <c r="D529" s="279"/>
      <c r="E529" s="279"/>
      <c r="F529" s="279"/>
      <c r="G529" s="279"/>
      <c r="H529" s="279"/>
      <c r="I529" s="279"/>
      <c r="J529" s="279"/>
      <c r="K529" s="279"/>
      <c r="L529" s="279"/>
      <c r="M529" s="279"/>
      <c r="N529" s="279"/>
      <c r="O529" s="356"/>
      <c r="P529" s="279"/>
      <c r="Q529" s="279"/>
      <c r="R529" s="279"/>
      <c r="S529" s="304"/>
      <c r="T529" s="309"/>
      <c r="U529" s="309"/>
      <c r="V529" s="279"/>
      <c r="W529" s="279"/>
      <c r="X529" s="309"/>
      <c r="Y529" s="291"/>
      <c r="Z529" s="291"/>
      <c r="AA529" s="291"/>
      <c r="AB529" s="291"/>
      <c r="AC529" s="291"/>
      <c r="AD529" s="291"/>
      <c r="AE529" s="291"/>
      <c r="AF529" s="291"/>
      <c r="AG529" s="291"/>
      <c r="AH529" s="291"/>
      <c r="AI529" s="291"/>
      <c r="AJ529" s="291"/>
      <c r="AK529" s="291"/>
      <c r="AL529" s="291"/>
      <c r="AM529" s="336"/>
    </row>
    <row r="530" spans="2:39" ht="15.5">
      <c r="B530" s="323" t="s">
        <v>205</v>
      </c>
      <c r="C530" s="355"/>
      <c r="D530" s="279"/>
      <c r="E530" s="279"/>
      <c r="F530" s="279"/>
      <c r="G530" s="279"/>
      <c r="H530" s="279"/>
      <c r="I530" s="279"/>
      <c r="J530" s="279"/>
      <c r="K530" s="279"/>
      <c r="L530" s="279"/>
      <c r="M530" s="279"/>
      <c r="N530" s="279"/>
      <c r="O530" s="356"/>
      <c r="P530" s="279"/>
      <c r="Q530" s="279"/>
      <c r="R530" s="279"/>
      <c r="S530" s="304"/>
      <c r="T530" s="309"/>
      <c r="U530" s="309"/>
      <c r="V530" s="279"/>
      <c r="W530" s="279"/>
      <c r="X530" s="309"/>
      <c r="Y530" s="291"/>
      <c r="Z530" s="291"/>
      <c r="AA530" s="291"/>
      <c r="AB530" s="291"/>
      <c r="AC530" s="291"/>
      <c r="AD530" s="291"/>
      <c r="AE530" s="291"/>
      <c r="AF530" s="291"/>
      <c r="AG530" s="291"/>
      <c r="AH530" s="291"/>
      <c r="AI530" s="291"/>
      <c r="AJ530" s="291"/>
      <c r="AK530" s="291"/>
      <c r="AL530" s="291"/>
      <c r="AM530" s="336"/>
    </row>
    <row r="531" spans="2:39" ht="15.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c r="Z531" s="325"/>
      <c r="AA531" s="325"/>
      <c r="AB531" s="325"/>
      <c r="AC531" s="325"/>
      <c r="AD531" s="325"/>
      <c r="AE531" s="325"/>
      <c r="AF531" s="325"/>
      <c r="AG531" s="325"/>
      <c r="AH531" s="325"/>
      <c r="AI531" s="325"/>
      <c r="AJ531" s="325"/>
      <c r="AK531" s="325"/>
      <c r="AL531" s="325"/>
      <c r="AM531" s="385"/>
    </row>
    <row r="532" spans="2:39" ht="22.5" customHeight="1">
      <c r="B532" s="367" t="s">
        <v>586</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2" ht="14.5">
      <c r="B534" s="588"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5" right="0.236220472440945" top="0.47244094488189" bottom="0.47244094488189" header="0.15748031496063" footer="0.15748031496063"/>
  <pageSetup cellComments="asDisplayed" fitToHeight="0" orientation="landscape" paperSize="17" scale="19" r:id="rId2"/>
  <headerFooter>
    <oddHeader>&amp;L&amp;G</oddHeader>
    <oddFooter>&amp;R&amp;P of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4:AP1130"/>
  <sheetViews>
    <sheetView zoomScale="70" zoomScaleNormal="70" workbookViewId="0" topLeftCell="A286">
      <pane xSplit="2" topLeftCell="C1" activePane="topRight" state="frozen"/>
      <selection pane="topLeft" activeCell="D157" sqref="D157"/>
      <selection pane="topRight" activeCell="D305" sqref="D305"/>
    </sheetView>
  </sheetViews>
  <sheetFormatPr defaultColWidth="9.00428571428571" defaultRowHeight="14.5" outlineLevelRow="1" outlineLevelCol="1"/>
  <cols>
    <col min="1" max="1" width="4.57142857142857" style="516" customWidth="1"/>
    <col min="2" max="2" width="44" style="424" customWidth="1"/>
    <col min="3" max="3" width="13.4285714285714" style="424" customWidth="1"/>
    <col min="4" max="4" width="17" style="424" customWidth="1"/>
    <col min="5" max="13" width="11.1428571428571" style="424" bestFit="1" customWidth="1" outlineLevel="1"/>
    <col min="14" max="14" width="13.5714285714286" style="424" customWidth="1" outlineLevel="1"/>
    <col min="15" max="15" width="15.5714285714286" style="424" customWidth="1"/>
    <col min="16" max="24" width="9" style="424" customWidth="1" outlineLevel="1"/>
    <col min="25" max="25" width="16.5714285714286" style="424" customWidth="1"/>
    <col min="26" max="27" width="15" style="424" customWidth="1"/>
    <col min="28" max="28" width="17.5714285714286" style="424" customWidth="1"/>
    <col min="29" max="29" width="19.5714285714286" style="424" customWidth="1"/>
    <col min="30" max="30" width="18.5714285714286" style="424" customWidth="1"/>
    <col min="31" max="35" width="15" style="424" customWidth="1"/>
    <col min="36" max="38" width="17.4285714285714" style="424" customWidth="1"/>
    <col min="39" max="39" width="14.5714285714286" style="424" customWidth="1"/>
    <col min="40" max="40" width="11.5714285714286" style="424" customWidth="1"/>
    <col min="41" max="16384" width="9" style="424"/>
  </cols>
  <sheetData>
    <row r="13" ht="15" thickBot="1"/>
    <row r="14" spans="2:39" ht="26.25" customHeight="1" thickBot="1">
      <c r="B14" s="912" t="s">
        <v>171</v>
      </c>
      <c r="C14" s="257" t="s">
        <v>175</v>
      </c>
      <c r="D14" s="500"/>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1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12"/>
      <c r="C16" s="894" t="s">
        <v>550</v>
      </c>
      <c r="D16" s="89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3: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12" t="s">
        <v>504</v>
      </c>
      <c r="C18" s="911" t="s">
        <v>690</v>
      </c>
      <c r="D18" s="911"/>
      <c r="E18" s="911"/>
      <c r="F18" s="911"/>
      <c r="G18" s="911"/>
      <c r="H18" s="911"/>
      <c r="I18" s="911"/>
      <c r="J18" s="911"/>
      <c r="K18" s="911"/>
      <c r="L18" s="911"/>
      <c r="M18" s="911"/>
      <c r="N18" s="911"/>
      <c r="O18" s="911"/>
      <c r="P18" s="911"/>
      <c r="Q18" s="911"/>
      <c r="R18" s="911"/>
      <c r="S18" s="911"/>
      <c r="T18" s="911"/>
      <c r="U18" s="911"/>
      <c r="V18" s="911"/>
      <c r="W18" s="911"/>
      <c r="X18" s="911"/>
      <c r="Y18" s="599"/>
      <c r="Z18" s="599"/>
      <c r="AA18" s="599"/>
      <c r="AB18" s="599"/>
      <c r="AC18" s="599"/>
      <c r="AD18" s="599"/>
      <c r="AE18" s="270"/>
      <c r="AF18" s="265"/>
      <c r="AG18" s="265"/>
      <c r="AH18" s="265"/>
      <c r="AI18" s="265"/>
      <c r="AJ18" s="265"/>
      <c r="AK18" s="265"/>
      <c r="AL18" s="265"/>
      <c r="AM18" s="265"/>
    </row>
    <row r="19" spans="2:39" ht="45.75" customHeight="1">
      <c r="B19" s="912"/>
      <c r="C19" s="911" t="s">
        <v>569</v>
      </c>
      <c r="D19" s="911"/>
      <c r="E19" s="911"/>
      <c r="F19" s="911"/>
      <c r="G19" s="911"/>
      <c r="H19" s="911"/>
      <c r="I19" s="911"/>
      <c r="J19" s="911"/>
      <c r="K19" s="911"/>
      <c r="L19" s="911"/>
      <c r="M19" s="911"/>
      <c r="N19" s="911"/>
      <c r="O19" s="911"/>
      <c r="P19" s="911"/>
      <c r="Q19" s="911"/>
      <c r="R19" s="911"/>
      <c r="S19" s="911"/>
      <c r="T19" s="911"/>
      <c r="U19" s="911"/>
      <c r="V19" s="911"/>
      <c r="W19" s="911"/>
      <c r="X19" s="911"/>
      <c r="Y19" s="599"/>
      <c r="Z19" s="599"/>
      <c r="AA19" s="599"/>
      <c r="AB19" s="599"/>
      <c r="AC19" s="599"/>
      <c r="AD19" s="599"/>
      <c r="AE19" s="270"/>
      <c r="AF19" s="265"/>
      <c r="AG19" s="265"/>
      <c r="AH19" s="265"/>
      <c r="AI19" s="265"/>
      <c r="AJ19" s="265"/>
      <c r="AK19" s="265"/>
      <c r="AL19" s="265"/>
      <c r="AM19" s="265"/>
    </row>
    <row r="20" spans="2:39" ht="62.25" customHeight="1">
      <c r="B20" s="273"/>
      <c r="C20" s="911" t="s">
        <v>567</v>
      </c>
      <c r="D20" s="911"/>
      <c r="E20" s="911"/>
      <c r="F20" s="911"/>
      <c r="G20" s="911"/>
      <c r="H20" s="911"/>
      <c r="I20" s="911"/>
      <c r="J20" s="911"/>
      <c r="K20" s="911"/>
      <c r="L20" s="911"/>
      <c r="M20" s="911"/>
      <c r="N20" s="911"/>
      <c r="O20" s="911"/>
      <c r="P20" s="911"/>
      <c r="Q20" s="911"/>
      <c r="R20" s="911"/>
      <c r="S20" s="911"/>
      <c r="T20" s="911"/>
      <c r="U20" s="911"/>
      <c r="V20" s="911"/>
      <c r="W20" s="911"/>
      <c r="X20" s="911"/>
      <c r="Y20" s="599"/>
      <c r="Z20" s="599"/>
      <c r="AA20" s="599"/>
      <c r="AB20" s="599"/>
      <c r="AC20" s="599"/>
      <c r="AD20" s="599"/>
      <c r="AE20" s="425"/>
      <c r="AF20" s="265"/>
      <c r="AG20" s="265"/>
      <c r="AH20" s="265"/>
      <c r="AI20" s="265"/>
      <c r="AJ20" s="265"/>
      <c r="AK20" s="265"/>
      <c r="AL20" s="265"/>
      <c r="AM20" s="265"/>
    </row>
    <row r="21" spans="2:39" ht="37.5" customHeight="1">
      <c r="B21" s="273"/>
      <c r="C21" s="911" t="s">
        <v>633</v>
      </c>
      <c r="D21" s="911"/>
      <c r="E21" s="911"/>
      <c r="F21" s="911"/>
      <c r="G21" s="911"/>
      <c r="H21" s="911"/>
      <c r="I21" s="911"/>
      <c r="J21" s="911"/>
      <c r="K21" s="911"/>
      <c r="L21" s="911"/>
      <c r="M21" s="911"/>
      <c r="N21" s="911"/>
      <c r="O21" s="911"/>
      <c r="P21" s="911"/>
      <c r="Q21" s="911"/>
      <c r="R21" s="911"/>
      <c r="S21" s="911"/>
      <c r="T21" s="911"/>
      <c r="U21" s="911"/>
      <c r="V21" s="911"/>
      <c r="W21" s="911"/>
      <c r="X21" s="911"/>
      <c r="Y21" s="599"/>
      <c r="Z21" s="599"/>
      <c r="AA21" s="599"/>
      <c r="AB21" s="599"/>
      <c r="AC21" s="599"/>
      <c r="AD21" s="599"/>
      <c r="AE21" s="276"/>
      <c r="AF21" s="265"/>
      <c r="AG21" s="265"/>
      <c r="AH21" s="265"/>
      <c r="AI21" s="265"/>
      <c r="AJ21" s="265"/>
      <c r="AK21" s="265"/>
      <c r="AL21" s="265"/>
      <c r="AM21" s="265"/>
    </row>
    <row r="22" spans="2:39" ht="54.75" customHeight="1">
      <c r="B22" s="273"/>
      <c r="C22" s="911" t="s">
        <v>617</v>
      </c>
      <c r="D22" s="911"/>
      <c r="E22" s="911"/>
      <c r="F22" s="911"/>
      <c r="G22" s="911"/>
      <c r="H22" s="911"/>
      <c r="I22" s="911"/>
      <c r="J22" s="911"/>
      <c r="K22" s="911"/>
      <c r="L22" s="911"/>
      <c r="M22" s="911"/>
      <c r="N22" s="911"/>
      <c r="O22" s="911"/>
      <c r="P22" s="911"/>
      <c r="Q22" s="911"/>
      <c r="R22" s="911"/>
      <c r="S22" s="911"/>
      <c r="T22" s="911"/>
      <c r="U22" s="911"/>
      <c r="V22" s="911"/>
      <c r="W22" s="911"/>
      <c r="X22" s="911"/>
      <c r="Y22" s="599"/>
      <c r="Z22" s="599"/>
      <c r="AA22" s="599"/>
      <c r="AB22" s="599"/>
      <c r="AC22" s="599"/>
      <c r="AD22" s="599"/>
      <c r="AE22" s="425"/>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912" t="s">
        <v>526</v>
      </c>
      <c r="C24" s="589"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912"/>
      <c r="C25" s="589"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2"/>
      <c r="C26" s="589"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2"/>
      <c r="C27" s="589"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2"/>
      <c r="C28" s="589"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2"/>
      <c r="C29" s="589"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2"/>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2"/>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3:39" ht="14.5">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2:39" ht="15.5">
      <c r="B33" s="280" t="s">
        <v>266</v>
      </c>
      <c r="C33" s="281"/>
      <c r="D33" s="583"/>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2:39" ht="36.75" customHeight="1">
      <c r="B34" s="902" t="s">
        <v>211</v>
      </c>
      <c r="C34" s="904" t="s">
        <v>33</v>
      </c>
      <c r="D34" s="284" t="s">
        <v>421</v>
      </c>
      <c r="E34" s="906" t="s">
        <v>209</v>
      </c>
      <c r="F34" s="907"/>
      <c r="G34" s="907"/>
      <c r="H34" s="907"/>
      <c r="I34" s="907"/>
      <c r="J34" s="907"/>
      <c r="K34" s="907"/>
      <c r="L34" s="907"/>
      <c r="M34" s="908"/>
      <c r="N34" s="909" t="s">
        <v>213</v>
      </c>
      <c r="O34" s="284" t="s">
        <v>422</v>
      </c>
      <c r="P34" s="906" t="s">
        <v>212</v>
      </c>
      <c r="Q34" s="907"/>
      <c r="R34" s="907"/>
      <c r="S34" s="907"/>
      <c r="T34" s="907"/>
      <c r="U34" s="907"/>
      <c r="V34" s="907"/>
      <c r="W34" s="907"/>
      <c r="X34" s="908"/>
      <c r="Y34" s="899" t="s">
        <v>243</v>
      </c>
      <c r="Z34" s="900"/>
      <c r="AA34" s="900"/>
      <c r="AB34" s="900"/>
      <c r="AC34" s="900"/>
      <c r="AD34" s="900"/>
      <c r="AE34" s="900"/>
      <c r="AF34" s="900"/>
      <c r="AG34" s="900"/>
      <c r="AH34" s="900"/>
      <c r="AI34" s="900"/>
      <c r="AJ34" s="900"/>
      <c r="AK34" s="900"/>
      <c r="AL34" s="900"/>
      <c r="AM34" s="901"/>
    </row>
    <row r="35" spans="2:39" ht="65.25" customHeight="1">
      <c r="B35" s="903"/>
      <c r="C35" s="905"/>
      <c r="D35" s="285">
        <v>2015</v>
      </c>
      <c r="E35" s="285">
        <v>2016</v>
      </c>
      <c r="F35" s="285">
        <v>2017</v>
      </c>
      <c r="G35" s="285">
        <v>2018</v>
      </c>
      <c r="H35" s="285">
        <v>2019</v>
      </c>
      <c r="I35" s="285">
        <v>2020</v>
      </c>
      <c r="J35" s="285">
        <v>2021</v>
      </c>
      <c r="K35" s="285">
        <v>2022</v>
      </c>
      <c r="L35" s="285">
        <v>2023</v>
      </c>
      <c r="M35" s="426">
        <v>2024</v>
      </c>
      <c r="N35" s="910"/>
      <c r="O35" s="285">
        <v>2015</v>
      </c>
      <c r="P35" s="285">
        <v>2016</v>
      </c>
      <c r="Q35" s="285">
        <v>2017</v>
      </c>
      <c r="R35" s="285">
        <v>2018</v>
      </c>
      <c r="S35" s="285">
        <v>2019</v>
      </c>
      <c r="T35" s="285">
        <v>2020</v>
      </c>
      <c r="U35" s="285">
        <v>2021</v>
      </c>
      <c r="V35" s="285">
        <v>2022</v>
      </c>
      <c r="W35" s="285">
        <v>2023</v>
      </c>
      <c r="X35" s="426">
        <v>2024</v>
      </c>
      <c r="Y35" s="285" t="str">
        <f>'1.  LRAMVA Summary'!D52</f>
        <v>Residential</v>
      </c>
      <c r="Z35" s="285" t="str">
        <f>'1.  LRAMVA Summary'!E52</f>
        <v>GS&lt;50 kW</v>
      </c>
      <c r="AA35" s="285" t="str">
        <f>'1.  LRAMVA Summary'!F52</f>
        <v>GS 50 - 999 kW</v>
      </c>
      <c r="AB35" s="285" t="str">
        <f>'1.  LRAMVA Summary'!G52</f>
        <v>GS 1,000 - 4,999 kW</v>
      </c>
      <c r="AC35" s="285" t="str">
        <f>'1.  LRAMVA Summary'!H52</f>
        <v>USL</v>
      </c>
      <c r="AD35" s="285" t="str">
        <f>'1.  LRAMVA Summary'!I52</f>
        <v>Sentinel Lighting</v>
      </c>
      <c r="AE35" s="285" t="str">
        <f>'1.  LRAMVA Summary'!J52</f>
        <v>Street Lighting</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2:39" ht="16.5" customHeight="1">
      <c r="B36" s="512"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2: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16">
        <v>1</v>
      </c>
      <c r="B38" s="514" t="s">
        <v>95</v>
      </c>
      <c r="C38" s="291" t="s">
        <v>25</v>
      </c>
      <c r="D38" s="295">
        <f>'7.  Persistence Report'!AU105</f>
        <v>290873</v>
      </c>
      <c r="E38" s="295">
        <f>'7.  Persistence Report'!AV105</f>
        <v>288223</v>
      </c>
      <c r="F38" s="295">
        <f>'7.  Persistence Report'!AW105</f>
        <v>288223</v>
      </c>
      <c r="G38" s="295">
        <f>'7.  Persistence Report'!AX105</f>
        <v>288223</v>
      </c>
      <c r="H38" s="295">
        <f>'7.  Persistence Report'!AY105</f>
        <v>288223</v>
      </c>
      <c r="I38" s="295">
        <f>'7.  Persistence Report'!AZ105</f>
        <v>288223</v>
      </c>
      <c r="J38" s="295">
        <f>'7.  Persistence Report'!BA105</f>
        <v>288223</v>
      </c>
      <c r="K38" s="295">
        <f>'7.  Persistence Report'!BB105</f>
        <v>288160</v>
      </c>
      <c r="L38" s="295">
        <f>'7.  Persistence Report'!BC105</f>
        <v>288160</v>
      </c>
      <c r="M38" s="295">
        <f>'7.  Persistence Report'!BD105</f>
        <v>288160</v>
      </c>
      <c r="N38" s="750"/>
      <c r="O38" s="295">
        <f>'7.  Persistence Report'!P105</f>
        <v>19</v>
      </c>
      <c r="P38" s="295">
        <f>'7.  Persistence Report'!Q105</f>
        <v>19</v>
      </c>
      <c r="Q38" s="295">
        <f>'7.  Persistence Report'!R105</f>
        <v>19</v>
      </c>
      <c r="R38" s="295">
        <f>'7.  Persistence Report'!S105</f>
        <v>19</v>
      </c>
      <c r="S38" s="295">
        <f>'7.  Persistence Report'!T105</f>
        <v>19</v>
      </c>
      <c r="T38" s="295">
        <f>'7.  Persistence Report'!U105</f>
        <v>19</v>
      </c>
      <c r="U38" s="295">
        <f>'7.  Persistence Report'!V105</f>
        <v>19</v>
      </c>
      <c r="V38" s="295">
        <f>'7.  Persistence Report'!W105</f>
        <v>19</v>
      </c>
      <c r="W38" s="295">
        <f>'7.  Persistence Report'!X105</f>
        <v>19</v>
      </c>
      <c r="X38" s="295">
        <f>'7.  Persistence Report'!Y105</f>
        <v>19</v>
      </c>
      <c r="Y38" s="759">
        <v>1</v>
      </c>
      <c r="Z38" s="759"/>
      <c r="AA38" s="759"/>
      <c r="AB38" s="759"/>
      <c r="AC38" s="759"/>
      <c r="AD38" s="759"/>
      <c r="AE38" s="759"/>
      <c r="AF38" s="759"/>
      <c r="AG38" s="409"/>
      <c r="AH38" s="409"/>
      <c r="AI38" s="409"/>
      <c r="AJ38" s="409"/>
      <c r="AK38" s="409"/>
      <c r="AL38" s="409"/>
      <c r="AM38" s="296">
        <f>SUM(Y38:AL38)</f>
        <v>1</v>
      </c>
    </row>
    <row r="39" spans="2:39" ht="15.5" outlineLevel="1">
      <c r="B39" s="294" t="s">
        <v>267</v>
      </c>
      <c r="C39" s="291" t="s">
        <v>163</v>
      </c>
      <c r="D39" s="295">
        <f>'7.  Persistence Report'!AU111</f>
        <v>50161</v>
      </c>
      <c r="E39" s="295">
        <f>'7.  Persistence Report'!AV111</f>
        <v>49436</v>
      </c>
      <c r="F39" s="295">
        <f>'7.  Persistence Report'!AW111</f>
        <v>49436</v>
      </c>
      <c r="G39" s="295">
        <f>'7.  Persistence Report'!AX111</f>
        <v>49436</v>
      </c>
      <c r="H39" s="295">
        <f>'7.  Persistence Report'!AY111</f>
        <v>49436</v>
      </c>
      <c r="I39" s="295">
        <f>'7.  Persistence Report'!AZ111</f>
        <v>49436</v>
      </c>
      <c r="J39" s="295">
        <f>'7.  Persistence Report'!BA111</f>
        <v>49436</v>
      </c>
      <c r="K39" s="295">
        <f>'7.  Persistence Report'!BB111</f>
        <v>49417</v>
      </c>
      <c r="L39" s="295">
        <f>'7.  Persistence Report'!BC111</f>
        <v>49417</v>
      </c>
      <c r="M39" s="295">
        <f>'7.  Persistence Report'!BD111</f>
        <v>49417</v>
      </c>
      <c r="N39" s="751"/>
      <c r="O39" s="295">
        <f>'7.  Persistence Report'!P111</f>
        <v>3</v>
      </c>
      <c r="P39" s="295">
        <f>'7.  Persistence Report'!Q111</f>
        <v>3</v>
      </c>
      <c r="Q39" s="295">
        <f>'7.  Persistence Report'!R111</f>
        <v>3</v>
      </c>
      <c r="R39" s="295">
        <f>'7.  Persistence Report'!S111</f>
        <v>3</v>
      </c>
      <c r="S39" s="295">
        <f>'7.  Persistence Report'!T111</f>
        <v>3</v>
      </c>
      <c r="T39" s="295">
        <f>'7.  Persistence Report'!U111</f>
        <v>3</v>
      </c>
      <c r="U39" s="295">
        <f>'7.  Persistence Report'!V111</f>
        <v>3</v>
      </c>
      <c r="V39" s="295">
        <f>'7.  Persistence Report'!W111</f>
        <v>3</v>
      </c>
      <c r="W39" s="295">
        <f>'7.  Persistence Report'!X111</f>
        <v>3</v>
      </c>
      <c r="X39" s="295">
        <f>'7.  Persistence Report'!Y111</f>
        <v>3</v>
      </c>
      <c r="Y39" s="760">
        <f>Y38</f>
        <v>1</v>
      </c>
      <c r="Z39" s="760">
        <f t="shared" si="0" ref="Z39:AF39">Z38</f>
        <v>0</v>
      </c>
      <c r="AA39" s="760">
        <f t="shared" si="0"/>
        <v>0</v>
      </c>
      <c r="AB39" s="760">
        <f t="shared" si="0"/>
        <v>0</v>
      </c>
      <c r="AC39" s="760">
        <f t="shared" si="0"/>
        <v>0</v>
      </c>
      <c r="AD39" s="760">
        <f t="shared" si="0"/>
        <v>0</v>
      </c>
      <c r="AE39" s="760">
        <f t="shared" si="0"/>
        <v>0</v>
      </c>
      <c r="AF39" s="760">
        <f t="shared" si="0"/>
        <v>0</v>
      </c>
      <c r="AG39" s="410">
        <f t="shared" si="1" ref="AG39:AL39">AG38</f>
        <v>0</v>
      </c>
      <c r="AH39" s="410">
        <f t="shared" si="1"/>
        <v>0</v>
      </c>
      <c r="AI39" s="410">
        <f t="shared" si="1"/>
        <v>0</v>
      </c>
      <c r="AJ39" s="410">
        <f t="shared" si="1"/>
        <v>0</v>
      </c>
      <c r="AK39" s="410">
        <f t="shared" si="1"/>
        <v>0</v>
      </c>
      <c r="AL39" s="410">
        <f t="shared" si="1"/>
        <v>0</v>
      </c>
      <c r="AM39" s="297"/>
    </row>
    <row r="40" spans="2:39" ht="15.5" outlineLevel="1">
      <c r="B40" s="298"/>
      <c r="C40" s="299"/>
      <c r="D40" s="752"/>
      <c r="E40" s="752"/>
      <c r="F40" s="752"/>
      <c r="G40" s="752"/>
      <c r="H40" s="752"/>
      <c r="I40" s="752"/>
      <c r="J40" s="752"/>
      <c r="K40" s="752"/>
      <c r="L40" s="752"/>
      <c r="M40" s="752"/>
      <c r="N40" s="758"/>
      <c r="O40" s="752"/>
      <c r="P40" s="752"/>
      <c r="Q40" s="752"/>
      <c r="R40" s="752"/>
      <c r="S40" s="752"/>
      <c r="T40" s="752"/>
      <c r="U40" s="752"/>
      <c r="V40" s="752"/>
      <c r="W40" s="752"/>
      <c r="X40" s="752"/>
      <c r="Y40" s="761"/>
      <c r="Z40" s="762"/>
      <c r="AA40" s="762"/>
      <c r="AB40" s="762"/>
      <c r="AC40" s="762"/>
      <c r="AD40" s="762"/>
      <c r="AE40" s="762"/>
      <c r="AF40" s="762"/>
      <c r="AG40" s="412"/>
      <c r="AH40" s="412"/>
      <c r="AI40" s="412"/>
      <c r="AJ40" s="412"/>
      <c r="AK40" s="412"/>
      <c r="AL40" s="412"/>
      <c r="AM40" s="302"/>
    </row>
    <row r="41" spans="1:39" ht="15.5" outlineLevel="1">
      <c r="A41" s="516">
        <v>2</v>
      </c>
      <c r="B41" s="514" t="s">
        <v>96</v>
      </c>
      <c r="C41" s="291" t="s">
        <v>25</v>
      </c>
      <c r="D41" s="295">
        <f>'7.  Persistence Report'!AU106</f>
        <v>537244</v>
      </c>
      <c r="E41" s="295">
        <f>'7.  Persistence Report'!AV106</f>
        <v>527696</v>
      </c>
      <c r="F41" s="295">
        <f>'7.  Persistence Report'!AW106</f>
        <v>527696</v>
      </c>
      <c r="G41" s="295">
        <f>'7.  Persistence Report'!AX106</f>
        <v>527696</v>
      </c>
      <c r="H41" s="295">
        <f>'7.  Persistence Report'!AY106</f>
        <v>527696</v>
      </c>
      <c r="I41" s="295">
        <f>'7.  Persistence Report'!AZ106</f>
        <v>527696</v>
      </c>
      <c r="J41" s="295">
        <f>'7.  Persistence Report'!BA106</f>
        <v>527696</v>
      </c>
      <c r="K41" s="295">
        <f>'7.  Persistence Report'!BB106</f>
        <v>527419</v>
      </c>
      <c r="L41" s="295">
        <f>'7.  Persistence Report'!BC106</f>
        <v>527419</v>
      </c>
      <c r="M41" s="295">
        <f>'7.  Persistence Report'!BD106</f>
        <v>527419</v>
      </c>
      <c r="N41" s="750"/>
      <c r="O41" s="295">
        <f>'7.  Persistence Report'!P106</f>
        <v>36</v>
      </c>
      <c r="P41" s="295">
        <f>'7.  Persistence Report'!Q106</f>
        <v>36</v>
      </c>
      <c r="Q41" s="295">
        <f>'7.  Persistence Report'!R106</f>
        <v>36</v>
      </c>
      <c r="R41" s="295">
        <f>'7.  Persistence Report'!S106</f>
        <v>36</v>
      </c>
      <c r="S41" s="295">
        <f>'7.  Persistence Report'!T106</f>
        <v>36</v>
      </c>
      <c r="T41" s="295">
        <f>'7.  Persistence Report'!U106</f>
        <v>36</v>
      </c>
      <c r="U41" s="295">
        <f>'7.  Persistence Report'!V106</f>
        <v>36</v>
      </c>
      <c r="V41" s="295">
        <f>'7.  Persistence Report'!W106</f>
        <v>36</v>
      </c>
      <c r="W41" s="295">
        <f>'7.  Persistence Report'!X106</f>
        <v>36</v>
      </c>
      <c r="X41" s="295">
        <f>'7.  Persistence Report'!Y106</f>
        <v>36</v>
      </c>
      <c r="Y41" s="759">
        <v>1</v>
      </c>
      <c r="Z41" s="759"/>
      <c r="AA41" s="759"/>
      <c r="AB41" s="759"/>
      <c r="AC41" s="759"/>
      <c r="AD41" s="759"/>
      <c r="AE41" s="759"/>
      <c r="AF41" s="759"/>
      <c r="AG41" s="409"/>
      <c r="AH41" s="409"/>
      <c r="AI41" s="409"/>
      <c r="AJ41" s="409"/>
      <c r="AK41" s="409"/>
      <c r="AL41" s="409"/>
      <c r="AM41" s="296">
        <f>SUM(Y41:AL41)</f>
        <v>1</v>
      </c>
    </row>
    <row r="42" spans="2:39" ht="15.5" outlineLevel="1">
      <c r="B42" s="294" t="s">
        <v>267</v>
      </c>
      <c r="C42" s="291" t="s">
        <v>163</v>
      </c>
      <c r="D42" s="295">
        <f>'7.  Persistence Report'!AU112</f>
        <v>5557</v>
      </c>
      <c r="E42" s="295">
        <f>'7.  Persistence Report'!AV112</f>
        <v>5492</v>
      </c>
      <c r="F42" s="295">
        <f>'7.  Persistence Report'!AW112</f>
        <v>5492</v>
      </c>
      <c r="G42" s="295">
        <f>'7.  Persistence Report'!AX112</f>
        <v>5492</v>
      </c>
      <c r="H42" s="295">
        <f>'7.  Persistence Report'!AY112</f>
        <v>5492</v>
      </c>
      <c r="I42" s="295">
        <f>'7.  Persistence Report'!AZ112</f>
        <v>5492</v>
      </c>
      <c r="J42" s="295">
        <f>'7.  Persistence Report'!BA112</f>
        <v>5492</v>
      </c>
      <c r="K42" s="295">
        <f>'7.  Persistence Report'!BB112</f>
        <v>5478</v>
      </c>
      <c r="L42" s="295">
        <f>'7.  Persistence Report'!BC112</f>
        <v>5478</v>
      </c>
      <c r="M42" s="295">
        <f>'7.  Persistence Report'!BD112</f>
        <v>5478</v>
      </c>
      <c r="N42" s="751"/>
      <c r="O42" s="295">
        <f>'7.  Persistence Report'!P112</f>
        <v>0</v>
      </c>
      <c r="P42" s="295">
        <f>'7.  Persistence Report'!Q112</f>
        <v>0</v>
      </c>
      <c r="Q42" s="295">
        <f>'7.  Persistence Report'!R112</f>
        <v>0</v>
      </c>
      <c r="R42" s="295">
        <f>'7.  Persistence Report'!S112</f>
        <v>0</v>
      </c>
      <c r="S42" s="295">
        <f>'7.  Persistence Report'!T112</f>
        <v>0</v>
      </c>
      <c r="T42" s="295">
        <f>'7.  Persistence Report'!U112</f>
        <v>0</v>
      </c>
      <c r="U42" s="295">
        <f>'7.  Persistence Report'!V112</f>
        <v>0</v>
      </c>
      <c r="V42" s="295">
        <f>'7.  Persistence Report'!W112</f>
        <v>0</v>
      </c>
      <c r="W42" s="295">
        <f>'7.  Persistence Report'!X112</f>
        <v>0</v>
      </c>
      <c r="X42" s="295">
        <f>'7.  Persistence Report'!Y112</f>
        <v>0</v>
      </c>
      <c r="Y42" s="760">
        <f>Y41</f>
        <v>1</v>
      </c>
      <c r="Z42" s="760">
        <f t="shared" si="2" ref="Z42:AF42">Z41</f>
        <v>0</v>
      </c>
      <c r="AA42" s="760">
        <f t="shared" si="2"/>
        <v>0</v>
      </c>
      <c r="AB42" s="760">
        <f t="shared" si="2"/>
        <v>0</v>
      </c>
      <c r="AC42" s="760">
        <f t="shared" si="2"/>
        <v>0</v>
      </c>
      <c r="AD42" s="760">
        <f t="shared" si="2"/>
        <v>0</v>
      </c>
      <c r="AE42" s="760">
        <f t="shared" si="2"/>
        <v>0</v>
      </c>
      <c r="AF42" s="760">
        <f t="shared" si="2"/>
        <v>0</v>
      </c>
      <c r="AG42" s="410">
        <f t="shared" si="3" ref="AG42">AG41</f>
        <v>0</v>
      </c>
      <c r="AH42" s="410">
        <f t="shared" si="4" ref="AH42">AH41</f>
        <v>0</v>
      </c>
      <c r="AI42" s="410">
        <f t="shared" si="5" ref="AI42">AI41</f>
        <v>0</v>
      </c>
      <c r="AJ42" s="410">
        <f t="shared" si="6" ref="AJ42">AJ41</f>
        <v>0</v>
      </c>
      <c r="AK42" s="410">
        <f t="shared" si="7" ref="AK42">AK41</f>
        <v>0</v>
      </c>
      <c r="AL42" s="410">
        <f t="shared" si="8" ref="AL42">AL41</f>
        <v>0</v>
      </c>
      <c r="AM42" s="297"/>
    </row>
    <row r="43" spans="2:39" ht="15.5" outlineLevel="1">
      <c r="B43" s="298"/>
      <c r="C43" s="299"/>
      <c r="D43" s="753"/>
      <c r="E43" s="753"/>
      <c r="F43" s="753"/>
      <c r="G43" s="753"/>
      <c r="H43" s="753"/>
      <c r="I43" s="753"/>
      <c r="J43" s="753"/>
      <c r="K43" s="753"/>
      <c r="L43" s="753"/>
      <c r="M43" s="753"/>
      <c r="N43" s="758"/>
      <c r="O43" s="753"/>
      <c r="P43" s="753"/>
      <c r="Q43" s="753"/>
      <c r="R43" s="753"/>
      <c r="S43" s="753"/>
      <c r="T43" s="753"/>
      <c r="U43" s="753"/>
      <c r="V43" s="753"/>
      <c r="W43" s="753"/>
      <c r="X43" s="753"/>
      <c r="Y43" s="761"/>
      <c r="Z43" s="762"/>
      <c r="AA43" s="762"/>
      <c r="AB43" s="762"/>
      <c r="AC43" s="762"/>
      <c r="AD43" s="762"/>
      <c r="AE43" s="762"/>
      <c r="AF43" s="762"/>
      <c r="AG43" s="412"/>
      <c r="AH43" s="412"/>
      <c r="AI43" s="412"/>
      <c r="AJ43" s="412"/>
      <c r="AK43" s="412"/>
      <c r="AL43" s="412"/>
      <c r="AM43" s="302"/>
    </row>
    <row r="44" spans="1:39" ht="15.5" outlineLevel="1">
      <c r="A44" s="516">
        <v>3</v>
      </c>
      <c r="B44" s="514" t="s">
        <v>97</v>
      </c>
      <c r="C44" s="291" t="s">
        <v>25</v>
      </c>
      <c r="D44" s="295">
        <f>'7.  Persistence Report'!AU104</f>
        <v>13955</v>
      </c>
      <c r="E44" s="295">
        <f>'7.  Persistence Report'!AV104</f>
        <v>13955</v>
      </c>
      <c r="F44" s="295">
        <f>'7.  Persistence Report'!AW104</f>
        <v>13955</v>
      </c>
      <c r="G44" s="295">
        <f>'7.  Persistence Report'!AX104</f>
        <v>13955</v>
      </c>
      <c r="H44" s="295">
        <f>'7.  Persistence Report'!AY104</f>
        <v>6512</v>
      </c>
      <c r="I44" s="295">
        <f>'7.  Persistence Report'!AZ104</f>
        <v>0</v>
      </c>
      <c r="J44" s="295">
        <f>'7.  Persistence Report'!BA104</f>
        <v>0</v>
      </c>
      <c r="K44" s="295">
        <f>'7.  Persistence Report'!BB104</f>
        <v>0</v>
      </c>
      <c r="L44" s="295">
        <f>'7.  Persistence Report'!BC104</f>
        <v>0</v>
      </c>
      <c r="M44" s="295">
        <f>'7.  Persistence Report'!BD104</f>
        <v>0</v>
      </c>
      <c r="N44" s="750"/>
      <c r="O44" s="295">
        <f>'7.  Persistence Report'!P104</f>
        <v>2</v>
      </c>
      <c r="P44" s="295">
        <f>'7.  Persistence Report'!Q104</f>
        <v>2</v>
      </c>
      <c r="Q44" s="295">
        <f>'7.  Persistence Report'!R104</f>
        <v>2</v>
      </c>
      <c r="R44" s="295">
        <f>'7.  Persistence Report'!S104</f>
        <v>2</v>
      </c>
      <c r="S44" s="295">
        <f>'7.  Persistence Report'!T104</f>
        <v>1</v>
      </c>
      <c r="T44" s="295">
        <f>'7.  Persistence Report'!U104</f>
        <v>0</v>
      </c>
      <c r="U44" s="295">
        <f>'7.  Persistence Report'!V104</f>
        <v>0</v>
      </c>
      <c r="V44" s="295">
        <f>'7.  Persistence Report'!W104</f>
        <v>0</v>
      </c>
      <c r="W44" s="295">
        <f>'7.  Persistence Report'!X104</f>
        <v>0</v>
      </c>
      <c r="X44" s="295">
        <f>'7.  Persistence Report'!Y104</f>
        <v>0</v>
      </c>
      <c r="Y44" s="759">
        <v>1</v>
      </c>
      <c r="Z44" s="759"/>
      <c r="AA44" s="759"/>
      <c r="AB44" s="759"/>
      <c r="AC44" s="759"/>
      <c r="AD44" s="759"/>
      <c r="AE44" s="759"/>
      <c r="AF44" s="759"/>
      <c r="AG44" s="409"/>
      <c r="AH44" s="409"/>
      <c r="AI44" s="409"/>
      <c r="AJ44" s="409"/>
      <c r="AK44" s="409"/>
      <c r="AL44" s="409"/>
      <c r="AM44" s="296">
        <f>SUM(Y44:AL44)</f>
        <v>1</v>
      </c>
    </row>
    <row r="45" spans="2:39" ht="15.5" outlineLevel="1">
      <c r="B45" s="294" t="s">
        <v>267</v>
      </c>
      <c r="C45" s="291" t="s">
        <v>163</v>
      </c>
      <c r="D45" s="295"/>
      <c r="E45" s="295"/>
      <c r="F45" s="295"/>
      <c r="G45" s="295"/>
      <c r="H45" s="295"/>
      <c r="I45" s="295"/>
      <c r="J45" s="295"/>
      <c r="K45" s="295"/>
      <c r="L45" s="295"/>
      <c r="M45" s="295"/>
      <c r="N45" s="751"/>
      <c r="O45" s="295"/>
      <c r="P45" s="295"/>
      <c r="Q45" s="295"/>
      <c r="R45" s="295"/>
      <c r="S45" s="295"/>
      <c r="T45" s="295"/>
      <c r="U45" s="295"/>
      <c r="V45" s="295"/>
      <c r="W45" s="295"/>
      <c r="X45" s="295"/>
      <c r="Y45" s="760">
        <f>Y44</f>
        <v>1</v>
      </c>
      <c r="Z45" s="760">
        <f t="shared" si="9" ref="Z45:AF45">Z44</f>
        <v>0</v>
      </c>
      <c r="AA45" s="760">
        <f t="shared" si="9"/>
        <v>0</v>
      </c>
      <c r="AB45" s="760">
        <f t="shared" si="9"/>
        <v>0</v>
      </c>
      <c r="AC45" s="760">
        <f t="shared" si="9"/>
        <v>0</v>
      </c>
      <c r="AD45" s="760">
        <f t="shared" si="9"/>
        <v>0</v>
      </c>
      <c r="AE45" s="760">
        <f t="shared" si="9"/>
        <v>0</v>
      </c>
      <c r="AF45" s="760">
        <f t="shared" si="9"/>
        <v>0</v>
      </c>
      <c r="AG45" s="410">
        <f t="shared" si="10" ref="AG45">AG44</f>
        <v>0</v>
      </c>
      <c r="AH45" s="410">
        <f t="shared" si="11" ref="AH45">AH44</f>
        <v>0</v>
      </c>
      <c r="AI45" s="410">
        <f t="shared" si="12" ref="AI45">AI44</f>
        <v>0</v>
      </c>
      <c r="AJ45" s="410">
        <f t="shared" si="13" ref="AJ45">AJ44</f>
        <v>0</v>
      </c>
      <c r="AK45" s="410">
        <f t="shared" si="14" ref="AK45">AK44</f>
        <v>0</v>
      </c>
      <c r="AL45" s="410">
        <f t="shared" si="15" ref="AL45">AL44</f>
        <v>0</v>
      </c>
      <c r="AM45" s="297"/>
    </row>
    <row r="46" spans="2:39" ht="15.5" outlineLevel="1">
      <c r="B46" s="294"/>
      <c r="C46" s="305"/>
      <c r="D46" s="750"/>
      <c r="E46" s="750"/>
      <c r="F46" s="750"/>
      <c r="G46" s="750"/>
      <c r="H46" s="750"/>
      <c r="I46" s="750"/>
      <c r="J46" s="750"/>
      <c r="K46" s="750"/>
      <c r="L46" s="750"/>
      <c r="M46" s="750"/>
      <c r="N46" s="750"/>
      <c r="O46" s="750"/>
      <c r="P46" s="750"/>
      <c r="Q46" s="750"/>
      <c r="R46" s="750"/>
      <c r="S46" s="750"/>
      <c r="T46" s="750"/>
      <c r="U46" s="750"/>
      <c r="V46" s="750"/>
      <c r="W46" s="750"/>
      <c r="X46" s="750"/>
      <c r="Y46" s="761"/>
      <c r="Z46" s="761"/>
      <c r="AA46" s="761"/>
      <c r="AB46" s="761"/>
      <c r="AC46" s="761"/>
      <c r="AD46" s="761"/>
      <c r="AE46" s="761"/>
      <c r="AF46" s="761"/>
      <c r="AG46" s="411"/>
      <c r="AH46" s="411"/>
      <c r="AI46" s="411"/>
      <c r="AJ46" s="411"/>
      <c r="AK46" s="411"/>
      <c r="AL46" s="411"/>
      <c r="AM46" s="306"/>
    </row>
    <row r="47" spans="1:39" ht="15.5" outlineLevel="1">
      <c r="A47" s="516">
        <v>4</v>
      </c>
      <c r="B47" s="514" t="s">
        <v>676</v>
      </c>
      <c r="C47" s="291" t="s">
        <v>25</v>
      </c>
      <c r="D47" s="295">
        <f>'7.  Persistence Report'!AU107</f>
        <v>316186</v>
      </c>
      <c r="E47" s="295">
        <f>'7.  Persistence Report'!AV107</f>
        <v>316186</v>
      </c>
      <c r="F47" s="295">
        <f>'7.  Persistence Report'!AW107</f>
        <v>316186</v>
      </c>
      <c r="G47" s="295">
        <f>'7.  Persistence Report'!AX107</f>
        <v>316186</v>
      </c>
      <c r="H47" s="295">
        <f>'7.  Persistence Report'!AY107</f>
        <v>316186</v>
      </c>
      <c r="I47" s="295">
        <f>'7.  Persistence Report'!AZ107</f>
        <v>316186</v>
      </c>
      <c r="J47" s="295">
        <f>'7.  Persistence Report'!BA107</f>
        <v>316186</v>
      </c>
      <c r="K47" s="295">
        <f>'7.  Persistence Report'!BB107</f>
        <v>316186</v>
      </c>
      <c r="L47" s="295">
        <f>'7.  Persistence Report'!BC107</f>
        <v>316186</v>
      </c>
      <c r="M47" s="295">
        <f>'7.  Persistence Report'!BD107</f>
        <v>316186</v>
      </c>
      <c r="N47" s="750"/>
      <c r="O47" s="295">
        <f>'7.  Persistence Report'!P107</f>
        <v>165</v>
      </c>
      <c r="P47" s="295">
        <f>'7.  Persistence Report'!Q107</f>
        <v>165</v>
      </c>
      <c r="Q47" s="295">
        <f>'7.  Persistence Report'!R107</f>
        <v>165</v>
      </c>
      <c r="R47" s="295">
        <f>'7.  Persistence Report'!S107</f>
        <v>165</v>
      </c>
      <c r="S47" s="295">
        <f>'7.  Persistence Report'!T107</f>
        <v>165</v>
      </c>
      <c r="T47" s="295">
        <f>'7.  Persistence Report'!U107</f>
        <v>165</v>
      </c>
      <c r="U47" s="295">
        <f>'7.  Persistence Report'!V107</f>
        <v>165</v>
      </c>
      <c r="V47" s="295">
        <f>'7.  Persistence Report'!W107</f>
        <v>165</v>
      </c>
      <c r="W47" s="295">
        <f>'7.  Persistence Report'!X107</f>
        <v>165</v>
      </c>
      <c r="X47" s="295">
        <f>'7.  Persistence Report'!Y107</f>
        <v>165</v>
      </c>
      <c r="Y47" s="759">
        <v>1</v>
      </c>
      <c r="Z47" s="759"/>
      <c r="AA47" s="759"/>
      <c r="AB47" s="759"/>
      <c r="AC47" s="759"/>
      <c r="AD47" s="759"/>
      <c r="AE47" s="759"/>
      <c r="AF47" s="759"/>
      <c r="AG47" s="409"/>
      <c r="AH47" s="409"/>
      <c r="AI47" s="409"/>
      <c r="AJ47" s="409"/>
      <c r="AK47" s="409"/>
      <c r="AL47" s="409"/>
      <c r="AM47" s="296">
        <f>SUM(Y47:AL47)</f>
        <v>1</v>
      </c>
    </row>
    <row r="48" spans="2:39" ht="15.5" outlineLevel="1">
      <c r="B48" s="294" t="s">
        <v>267</v>
      </c>
      <c r="C48" s="291" t="s">
        <v>163</v>
      </c>
      <c r="D48" s="295">
        <f>'7.  Persistence Report'!AU113</f>
        <v>15881</v>
      </c>
      <c r="E48" s="295">
        <f>'7.  Persistence Report'!AV113</f>
        <v>15881</v>
      </c>
      <c r="F48" s="295">
        <f>'7.  Persistence Report'!AW113</f>
        <v>15881</v>
      </c>
      <c r="G48" s="295">
        <f>'7.  Persistence Report'!AX113</f>
        <v>15881</v>
      </c>
      <c r="H48" s="295">
        <f>'7.  Persistence Report'!AY113</f>
        <v>15881</v>
      </c>
      <c r="I48" s="295">
        <f>'7.  Persistence Report'!AZ113</f>
        <v>15881</v>
      </c>
      <c r="J48" s="295">
        <f>'7.  Persistence Report'!BA113</f>
        <v>15881</v>
      </c>
      <c r="K48" s="295">
        <f>'7.  Persistence Report'!BB113</f>
        <v>15881</v>
      </c>
      <c r="L48" s="295">
        <f>'7.  Persistence Report'!BC113</f>
        <v>15881</v>
      </c>
      <c r="M48" s="295">
        <f>'7.  Persistence Report'!BD113</f>
        <v>15881</v>
      </c>
      <c r="N48" s="751"/>
      <c r="O48" s="295">
        <f>'7.  Persistence Report'!P113</f>
        <v>8</v>
      </c>
      <c r="P48" s="295">
        <f>'7.  Persistence Report'!Q113</f>
        <v>8</v>
      </c>
      <c r="Q48" s="295">
        <f>'7.  Persistence Report'!R113</f>
        <v>8</v>
      </c>
      <c r="R48" s="295">
        <f>'7.  Persistence Report'!S113</f>
        <v>8</v>
      </c>
      <c r="S48" s="295">
        <f>'7.  Persistence Report'!T113</f>
        <v>8</v>
      </c>
      <c r="T48" s="295">
        <f>'7.  Persistence Report'!U113</f>
        <v>8</v>
      </c>
      <c r="U48" s="295">
        <f>'7.  Persistence Report'!V113</f>
        <v>8</v>
      </c>
      <c r="V48" s="295">
        <f>'7.  Persistence Report'!W113</f>
        <v>8</v>
      </c>
      <c r="W48" s="295">
        <f>'7.  Persistence Report'!X113</f>
        <v>8</v>
      </c>
      <c r="X48" s="295">
        <f>'7.  Persistence Report'!Y113</f>
        <v>8</v>
      </c>
      <c r="Y48" s="760">
        <f>Y47</f>
        <v>1</v>
      </c>
      <c r="Z48" s="760">
        <f t="shared" si="16" ref="Z48:AF48">Z47</f>
        <v>0</v>
      </c>
      <c r="AA48" s="760">
        <f t="shared" si="16"/>
        <v>0</v>
      </c>
      <c r="AB48" s="760">
        <f t="shared" si="16"/>
        <v>0</v>
      </c>
      <c r="AC48" s="760">
        <f t="shared" si="16"/>
        <v>0</v>
      </c>
      <c r="AD48" s="760">
        <f t="shared" si="16"/>
        <v>0</v>
      </c>
      <c r="AE48" s="760">
        <f t="shared" si="16"/>
        <v>0</v>
      </c>
      <c r="AF48" s="760">
        <f t="shared" si="16"/>
        <v>0</v>
      </c>
      <c r="AG48" s="410">
        <f t="shared" si="17" ref="AG48">AG47</f>
        <v>0</v>
      </c>
      <c r="AH48" s="410">
        <f t="shared" si="18" ref="AH48">AH47</f>
        <v>0</v>
      </c>
      <c r="AI48" s="410">
        <f t="shared" si="19" ref="AI48">AI47</f>
        <v>0</v>
      </c>
      <c r="AJ48" s="410">
        <f t="shared" si="20" ref="AJ48">AJ47</f>
        <v>0</v>
      </c>
      <c r="AK48" s="410">
        <f t="shared" si="21" ref="AK48">AK47</f>
        <v>0</v>
      </c>
      <c r="AL48" s="410">
        <f t="shared" si="22" ref="AL48">AL47</f>
        <v>0</v>
      </c>
      <c r="AM48" s="297"/>
    </row>
    <row r="49" spans="2:39" ht="15.5" outlineLevel="1">
      <c r="B49" s="294"/>
      <c r="C49" s="305"/>
      <c r="D49" s="753"/>
      <c r="E49" s="753"/>
      <c r="F49" s="753"/>
      <c r="G49" s="753"/>
      <c r="H49" s="753"/>
      <c r="I49" s="753"/>
      <c r="J49" s="753"/>
      <c r="K49" s="753"/>
      <c r="L49" s="753"/>
      <c r="M49" s="753"/>
      <c r="N49" s="750"/>
      <c r="O49" s="753"/>
      <c r="P49" s="753"/>
      <c r="Q49" s="753"/>
      <c r="R49" s="753"/>
      <c r="S49" s="753"/>
      <c r="T49" s="753"/>
      <c r="U49" s="753"/>
      <c r="V49" s="753"/>
      <c r="W49" s="753"/>
      <c r="X49" s="753"/>
      <c r="Y49" s="761"/>
      <c r="Z49" s="761"/>
      <c r="AA49" s="761"/>
      <c r="AB49" s="761"/>
      <c r="AC49" s="761"/>
      <c r="AD49" s="761"/>
      <c r="AE49" s="761"/>
      <c r="AF49" s="761"/>
      <c r="AG49" s="411"/>
      <c r="AH49" s="411"/>
      <c r="AI49" s="411"/>
      <c r="AJ49" s="411"/>
      <c r="AK49" s="411"/>
      <c r="AL49" s="411"/>
      <c r="AM49" s="306"/>
    </row>
    <row r="50" spans="1:39" ht="18" customHeight="1" outlineLevel="1">
      <c r="A50" s="516">
        <v>5</v>
      </c>
      <c r="B50" s="514" t="s">
        <v>98</v>
      </c>
      <c r="C50" s="291" t="s">
        <v>25</v>
      </c>
      <c r="D50" s="295"/>
      <c r="E50" s="295"/>
      <c r="F50" s="295"/>
      <c r="G50" s="295"/>
      <c r="H50" s="295"/>
      <c r="I50" s="295"/>
      <c r="J50" s="295"/>
      <c r="K50" s="295"/>
      <c r="L50" s="295"/>
      <c r="M50" s="295"/>
      <c r="N50" s="750"/>
      <c r="O50" s="295"/>
      <c r="P50" s="295"/>
      <c r="Q50" s="295"/>
      <c r="R50" s="295"/>
      <c r="S50" s="295"/>
      <c r="T50" s="295"/>
      <c r="U50" s="295"/>
      <c r="V50" s="295"/>
      <c r="W50" s="295"/>
      <c r="X50" s="295"/>
      <c r="Y50" s="759"/>
      <c r="Z50" s="759"/>
      <c r="AA50" s="759"/>
      <c r="AB50" s="759"/>
      <c r="AC50" s="759"/>
      <c r="AD50" s="759"/>
      <c r="AE50" s="759"/>
      <c r="AF50" s="759"/>
      <c r="AG50" s="409"/>
      <c r="AH50" s="409"/>
      <c r="AI50" s="409"/>
      <c r="AJ50" s="409"/>
      <c r="AK50" s="409"/>
      <c r="AL50" s="409"/>
      <c r="AM50" s="296">
        <f>SUM(Y50:AL50)</f>
        <v>0</v>
      </c>
    </row>
    <row r="51" spans="2:39" ht="15.5" outlineLevel="1">
      <c r="B51" s="294" t="s">
        <v>267</v>
      </c>
      <c r="C51" s="291" t="s">
        <v>163</v>
      </c>
      <c r="D51" s="295"/>
      <c r="E51" s="295"/>
      <c r="F51" s="295"/>
      <c r="G51" s="295"/>
      <c r="H51" s="295"/>
      <c r="I51" s="295"/>
      <c r="J51" s="295"/>
      <c r="K51" s="295"/>
      <c r="L51" s="295"/>
      <c r="M51" s="295"/>
      <c r="N51" s="751"/>
      <c r="O51" s="295"/>
      <c r="P51" s="295"/>
      <c r="Q51" s="295"/>
      <c r="R51" s="295"/>
      <c r="S51" s="295"/>
      <c r="T51" s="295"/>
      <c r="U51" s="295"/>
      <c r="V51" s="295"/>
      <c r="W51" s="295"/>
      <c r="X51" s="295"/>
      <c r="Y51" s="760">
        <f>Y50</f>
        <v>0</v>
      </c>
      <c r="Z51" s="760">
        <f t="shared" si="23" ref="Z51:AF51">Z50</f>
        <v>0</v>
      </c>
      <c r="AA51" s="760">
        <f t="shared" si="23"/>
        <v>0</v>
      </c>
      <c r="AB51" s="760">
        <f t="shared" si="23"/>
        <v>0</v>
      </c>
      <c r="AC51" s="760">
        <f t="shared" si="23"/>
        <v>0</v>
      </c>
      <c r="AD51" s="760">
        <f t="shared" si="23"/>
        <v>0</v>
      </c>
      <c r="AE51" s="760">
        <f t="shared" si="23"/>
        <v>0</v>
      </c>
      <c r="AF51" s="760">
        <f t="shared" si="23"/>
        <v>0</v>
      </c>
      <c r="AG51" s="410">
        <f t="shared" si="24" ref="AG51">AG50</f>
        <v>0</v>
      </c>
      <c r="AH51" s="410">
        <f t="shared" si="25" ref="AH51">AH50</f>
        <v>0</v>
      </c>
      <c r="AI51" s="410">
        <f t="shared" si="26" ref="AI51">AI50</f>
        <v>0</v>
      </c>
      <c r="AJ51" s="410">
        <f t="shared" si="27" ref="AJ51">AJ50</f>
        <v>0</v>
      </c>
      <c r="AK51" s="410">
        <f t="shared" si="28" ref="AK51">AK50</f>
        <v>0</v>
      </c>
      <c r="AL51" s="410">
        <f t="shared" si="29" ref="AL51">AL50</f>
        <v>0</v>
      </c>
      <c r="AM51" s="297"/>
    </row>
    <row r="52" spans="2:39" ht="15.5" outlineLevel="1">
      <c r="B52" s="294"/>
      <c r="C52" s="291"/>
      <c r="D52" s="750"/>
      <c r="E52" s="750"/>
      <c r="F52" s="750"/>
      <c r="G52" s="750"/>
      <c r="H52" s="750"/>
      <c r="I52" s="750"/>
      <c r="J52" s="750"/>
      <c r="K52" s="750"/>
      <c r="L52" s="750"/>
      <c r="M52" s="750"/>
      <c r="N52" s="750"/>
      <c r="O52" s="750"/>
      <c r="P52" s="750"/>
      <c r="Q52" s="750"/>
      <c r="R52" s="750"/>
      <c r="S52" s="750"/>
      <c r="T52" s="750"/>
      <c r="U52" s="750"/>
      <c r="V52" s="750"/>
      <c r="W52" s="750"/>
      <c r="X52" s="750"/>
      <c r="Y52" s="771"/>
      <c r="Z52" s="772"/>
      <c r="AA52" s="772"/>
      <c r="AB52" s="772"/>
      <c r="AC52" s="772"/>
      <c r="AD52" s="772"/>
      <c r="AE52" s="772"/>
      <c r="AF52" s="772"/>
      <c r="AG52" s="420"/>
      <c r="AH52" s="420"/>
      <c r="AI52" s="420"/>
      <c r="AJ52" s="420"/>
      <c r="AK52" s="420"/>
      <c r="AL52" s="420"/>
      <c r="AM52" s="297"/>
    </row>
    <row r="53" spans="2:39" ht="16.5" customHeight="1" outlineLevel="1">
      <c r="B53" s="318" t="s">
        <v>497</v>
      </c>
      <c r="C53" s="289"/>
      <c r="D53" s="754"/>
      <c r="E53" s="754"/>
      <c r="F53" s="754"/>
      <c r="G53" s="754"/>
      <c r="H53" s="754"/>
      <c r="I53" s="754"/>
      <c r="J53" s="754"/>
      <c r="K53" s="754"/>
      <c r="L53" s="754"/>
      <c r="M53" s="754"/>
      <c r="N53" s="756"/>
      <c r="O53" s="754"/>
      <c r="P53" s="754"/>
      <c r="Q53" s="754"/>
      <c r="R53" s="754"/>
      <c r="S53" s="754"/>
      <c r="T53" s="754"/>
      <c r="U53" s="754"/>
      <c r="V53" s="754"/>
      <c r="W53" s="754"/>
      <c r="X53" s="754"/>
      <c r="Y53" s="763"/>
      <c r="Z53" s="763"/>
      <c r="AA53" s="763"/>
      <c r="AB53" s="763"/>
      <c r="AC53" s="763"/>
      <c r="AD53" s="763"/>
      <c r="AE53" s="763"/>
      <c r="AF53" s="763"/>
      <c r="AG53" s="413"/>
      <c r="AH53" s="413"/>
      <c r="AI53" s="413"/>
      <c r="AJ53" s="413"/>
      <c r="AK53" s="413"/>
      <c r="AL53" s="413"/>
      <c r="AM53" s="292"/>
    </row>
    <row r="54" spans="1:39" ht="15.5" outlineLevel="1">
      <c r="A54" s="516">
        <v>6</v>
      </c>
      <c r="B54" s="514"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764"/>
      <c r="Z54" s="759"/>
      <c r="AA54" s="759"/>
      <c r="AB54" s="759"/>
      <c r="AC54" s="759"/>
      <c r="AD54" s="759"/>
      <c r="AE54" s="759"/>
      <c r="AF54" s="764"/>
      <c r="AG54" s="414"/>
      <c r="AH54" s="414"/>
      <c r="AI54" s="414"/>
      <c r="AJ54" s="414"/>
      <c r="AK54" s="414"/>
      <c r="AL54" s="414"/>
      <c r="AM54" s="296">
        <f>SUM(Y54:AL54)</f>
        <v>0</v>
      </c>
    </row>
    <row r="55" spans="2:39" ht="15.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760">
        <f>Y54</f>
        <v>0</v>
      </c>
      <c r="Z55" s="760">
        <f t="shared" si="30" ref="Z55:AF55">Z54</f>
        <v>0</v>
      </c>
      <c r="AA55" s="760">
        <f t="shared" si="30"/>
        <v>0</v>
      </c>
      <c r="AB55" s="760">
        <f t="shared" si="30"/>
        <v>0</v>
      </c>
      <c r="AC55" s="760">
        <f t="shared" si="30"/>
        <v>0</v>
      </c>
      <c r="AD55" s="760">
        <f t="shared" si="30"/>
        <v>0</v>
      </c>
      <c r="AE55" s="760">
        <f t="shared" si="30"/>
        <v>0</v>
      </c>
      <c r="AF55" s="760">
        <f t="shared" si="30"/>
        <v>0</v>
      </c>
      <c r="AG55" s="410">
        <f t="shared" si="31" ref="AG55">AG54</f>
        <v>0</v>
      </c>
      <c r="AH55" s="410">
        <f t="shared" si="32" ref="AH55">AH54</f>
        <v>0</v>
      </c>
      <c r="AI55" s="410">
        <f t="shared" si="33" ref="AI55">AI54</f>
        <v>0</v>
      </c>
      <c r="AJ55" s="410">
        <f t="shared" si="34" ref="AJ55">AJ54</f>
        <v>0</v>
      </c>
      <c r="AK55" s="410">
        <f t="shared" si="35" ref="AK55">AK54</f>
        <v>0</v>
      </c>
      <c r="AL55" s="410">
        <f t="shared" si="36" ref="AL55">AL54</f>
        <v>0</v>
      </c>
      <c r="AM55" s="311"/>
    </row>
    <row r="56" spans="2:39" ht="15.5" outlineLevel="1">
      <c r="B56" s="310"/>
      <c r="C56" s="312"/>
      <c r="D56" s="750"/>
      <c r="E56" s="750"/>
      <c r="F56" s="750"/>
      <c r="G56" s="750"/>
      <c r="H56" s="750"/>
      <c r="I56" s="750"/>
      <c r="J56" s="750"/>
      <c r="K56" s="750"/>
      <c r="L56" s="750"/>
      <c r="M56" s="750"/>
      <c r="N56" s="750"/>
      <c r="O56" s="750"/>
      <c r="P56" s="750"/>
      <c r="Q56" s="750"/>
      <c r="R56" s="750"/>
      <c r="S56" s="750"/>
      <c r="T56" s="750"/>
      <c r="U56" s="750"/>
      <c r="V56" s="750"/>
      <c r="W56" s="750"/>
      <c r="X56" s="750"/>
      <c r="Y56" s="765"/>
      <c r="Z56" s="765"/>
      <c r="AA56" s="765"/>
      <c r="AB56" s="765"/>
      <c r="AC56" s="765"/>
      <c r="AD56" s="765"/>
      <c r="AE56" s="765"/>
      <c r="AF56" s="765"/>
      <c r="AG56" s="415"/>
      <c r="AH56" s="415"/>
      <c r="AI56" s="415"/>
      <c r="AJ56" s="415"/>
      <c r="AK56" s="415"/>
      <c r="AL56" s="415"/>
      <c r="AM56" s="313"/>
    </row>
    <row r="57" spans="1:39" ht="28.5" customHeight="1" outlineLevel="1">
      <c r="A57" s="516">
        <v>7</v>
      </c>
      <c r="B57" s="514" t="s">
        <v>100</v>
      </c>
      <c r="C57" s="291" t="s">
        <v>25</v>
      </c>
      <c r="D57" s="295">
        <f>'7.  Persistence Report'!AU108</f>
        <v>4647879</v>
      </c>
      <c r="E57" s="295">
        <f>'7.  Persistence Report'!AV108</f>
        <v>4647879</v>
      </c>
      <c r="F57" s="295">
        <f>'7.  Persistence Report'!AW108</f>
        <v>4583665</v>
      </c>
      <c r="G57" s="295">
        <f>'7.  Persistence Report'!AX108</f>
        <v>4583558</v>
      </c>
      <c r="H57" s="295">
        <f>'7.  Persistence Report'!AY108</f>
        <v>4583558</v>
      </c>
      <c r="I57" s="295">
        <f>'7.  Persistence Report'!AZ108</f>
        <v>4359005</v>
      </c>
      <c r="J57" s="295">
        <f>'7.  Persistence Report'!BA108</f>
        <v>4302487</v>
      </c>
      <c r="K57" s="295">
        <f>'7.  Persistence Report'!BB108</f>
        <v>4302487</v>
      </c>
      <c r="L57" s="295">
        <f>'7.  Persistence Report'!BC108</f>
        <v>4266744</v>
      </c>
      <c r="M57" s="295">
        <f>'7.  Persistence Report'!BD108</f>
        <v>4071369</v>
      </c>
      <c r="N57" s="295">
        <v>12</v>
      </c>
      <c r="O57" s="295">
        <f>'7.  Persistence Report'!P108</f>
        <v>545</v>
      </c>
      <c r="P57" s="295">
        <f>'7.  Persistence Report'!Q108</f>
        <v>545</v>
      </c>
      <c r="Q57" s="295">
        <f>'7.  Persistence Report'!R108</f>
        <v>525</v>
      </c>
      <c r="R57" s="295">
        <f>'7.  Persistence Report'!S108</f>
        <v>524</v>
      </c>
      <c r="S57" s="295">
        <f>'7.  Persistence Report'!T108</f>
        <v>524</v>
      </c>
      <c r="T57" s="295">
        <f>'7.  Persistence Report'!U108</f>
        <v>456</v>
      </c>
      <c r="U57" s="295">
        <f>'7.  Persistence Report'!V108</f>
        <v>448</v>
      </c>
      <c r="V57" s="295">
        <f>'7.  Persistence Report'!W108</f>
        <v>448</v>
      </c>
      <c r="W57" s="295">
        <f>'7.  Persistence Report'!X108</f>
        <v>445</v>
      </c>
      <c r="X57" s="295">
        <f>'7.  Persistence Report'!Y108</f>
        <v>417</v>
      </c>
      <c r="Y57" s="779"/>
      <c r="Z57" s="779">
        <v>0.33000000000000002</v>
      </c>
      <c r="AA57" s="779">
        <v>0.33000000000000002</v>
      </c>
      <c r="AB57" s="759">
        <v>0.34000000000000002</v>
      </c>
      <c r="AC57" s="779"/>
      <c r="AD57" s="759"/>
      <c r="AE57" s="759"/>
      <c r="AF57" s="764"/>
      <c r="AG57" s="414"/>
      <c r="AH57" s="414"/>
      <c r="AI57" s="414"/>
      <c r="AJ57" s="414"/>
      <c r="AK57" s="414"/>
      <c r="AL57" s="414"/>
      <c r="AM57" s="296">
        <f>SUM(Y57:AL57)</f>
        <v>1</v>
      </c>
    </row>
    <row r="58" spans="2:39" ht="15.5" outlineLevel="1">
      <c r="B58" s="294" t="s">
        <v>267</v>
      </c>
      <c r="C58" s="291" t="s">
        <v>163</v>
      </c>
      <c r="D58" s="295">
        <f>'7.  Persistence Report'!AU114+'7.  Persistence Report'!AU115+'7.  Persistence Report'!AU139</f>
        <v>146713.54171905172</v>
      </c>
      <c r="E58" s="295">
        <f>'7.  Persistence Report'!AV114+'7.  Persistence Report'!AV115+'7.  Persistence Report'!AV139</f>
        <v>29571.43198804665</v>
      </c>
      <c r="F58" s="295">
        <f>'7.  Persistence Report'!AW114+'7.  Persistence Report'!AW115+'7.  Persistence Report'!AW139</f>
        <v>93784.43198804665</v>
      </c>
      <c r="G58" s="295">
        <f>'7.  Persistence Report'!AX114+'7.  Persistence Report'!AX115+'7.  Persistence Report'!AX139</f>
        <v>93892.43198804665</v>
      </c>
      <c r="H58" s="295">
        <f>'7.  Persistence Report'!AY114+'7.  Persistence Report'!AY115+'7.  Persistence Report'!AY139</f>
        <v>93892.43198804665</v>
      </c>
      <c r="I58" s="295">
        <f>'7.  Persistence Report'!AZ114+'7.  Persistence Report'!AZ115+'7.  Persistence Report'!AZ139</f>
        <v>93892.43198804665</v>
      </c>
      <c r="J58" s="295">
        <f>'7.  Persistence Report'!BA114+'7.  Persistence Report'!BA115</f>
        <v>286992</v>
      </c>
      <c r="K58" s="295">
        <f>'7.  Persistence Report'!BB114+'7.  Persistence Report'!BB115</f>
        <v>286992</v>
      </c>
      <c r="L58" s="295">
        <f>'7.  Persistence Report'!BC114+'7.  Persistence Report'!BC115</f>
        <v>316280</v>
      </c>
      <c r="M58" s="295">
        <f>'7.  Persistence Report'!BD114+'7.  Persistence Report'!BD115</f>
        <v>276891</v>
      </c>
      <c r="N58" s="295">
        <f>N57</f>
        <v>12</v>
      </c>
      <c r="O58" s="295">
        <f>'7.  Persistence Report'!P114+'7.  Persistence Report'!P115+'7.  Persistence Report'!P139</f>
        <v>17.56601673126583</v>
      </c>
      <c r="P58" s="295">
        <f>'7.  Persistence Report'!Q114+'7.  Persistence Report'!Q115+'7.  Persistence Report'!Q139</f>
        <v>2.867788623292217</v>
      </c>
      <c r="Q58" s="295">
        <f>'7.  Persistence Report'!R114+'7.  Persistence Report'!R115+'7.  Persistence Report'!R139</f>
        <v>22.867788623292217</v>
      </c>
      <c r="R58" s="295">
        <f>'7.  Persistence Report'!S114+'7.  Persistence Report'!S115+'7.  Persistence Report'!S139</f>
        <v>22.867788623292217</v>
      </c>
      <c r="S58" s="295">
        <f>'7.  Persistence Report'!T114+'7.  Persistence Report'!T115+'7.  Persistence Report'!T139</f>
        <v>22.867788623292217</v>
      </c>
      <c r="T58" s="295">
        <f>'7.  Persistence Report'!U114+'7.  Persistence Report'!U115+'7.  Persistence Report'!U139</f>
        <v>23.093475625578275</v>
      </c>
      <c r="U58" s="295">
        <f>'7.  Persistence Report'!V114+'7.  Persistence Report'!V115</f>
        <v>49</v>
      </c>
      <c r="V58" s="295">
        <f>'7.  Persistence Report'!W114+'7.  Persistence Report'!W115</f>
        <v>49</v>
      </c>
      <c r="W58" s="295">
        <f>'7.  Persistence Report'!X114+'7.  Persistence Report'!X115</f>
        <v>49</v>
      </c>
      <c r="X58" s="295">
        <f>'7.  Persistence Report'!Y114+'7.  Persistence Report'!Y115</f>
        <v>40</v>
      </c>
      <c r="Y58" s="760">
        <f>Y57</f>
        <v>0</v>
      </c>
      <c r="Z58" s="760">
        <f>Z57</f>
        <v>0.33000000000000002</v>
      </c>
      <c r="AA58" s="760">
        <f t="shared" si="37" ref="AA58:AF58">AA57</f>
        <v>0.33000000000000002</v>
      </c>
      <c r="AB58" s="760">
        <f t="shared" si="37"/>
        <v>0.34000000000000002</v>
      </c>
      <c r="AC58" s="760">
        <f t="shared" si="37"/>
        <v>0</v>
      </c>
      <c r="AD58" s="760">
        <f t="shared" si="37"/>
        <v>0</v>
      </c>
      <c r="AE58" s="760">
        <f t="shared" si="37"/>
        <v>0</v>
      </c>
      <c r="AF58" s="760">
        <f t="shared" si="37"/>
        <v>0</v>
      </c>
      <c r="AG58" s="410">
        <f t="shared" si="38" ref="AG58">AG57</f>
        <v>0</v>
      </c>
      <c r="AH58" s="410">
        <f t="shared" si="39" ref="AH58">AH57</f>
        <v>0</v>
      </c>
      <c r="AI58" s="410">
        <f t="shared" si="40" ref="AI58">AI57</f>
        <v>0</v>
      </c>
      <c r="AJ58" s="410">
        <f t="shared" si="41" ref="AJ58">AJ57</f>
        <v>0</v>
      </c>
      <c r="AK58" s="410">
        <f t="shared" si="42" ref="AK58">AK57</f>
        <v>0</v>
      </c>
      <c r="AL58" s="410">
        <f t="shared" si="43" ref="AL58">AL57</f>
        <v>0</v>
      </c>
      <c r="AM58" s="311"/>
    </row>
    <row r="59" spans="2:39" ht="15.5" outlineLevel="1">
      <c r="B59" s="314"/>
      <c r="C59" s="312"/>
      <c r="D59" s="750"/>
      <c r="E59" s="750"/>
      <c r="F59" s="750"/>
      <c r="G59" s="750"/>
      <c r="H59" s="750"/>
      <c r="I59" s="750"/>
      <c r="J59" s="750"/>
      <c r="K59" s="750"/>
      <c r="L59" s="750"/>
      <c r="M59" s="750"/>
      <c r="N59" s="750"/>
      <c r="O59" s="750"/>
      <c r="P59" s="750"/>
      <c r="Q59" s="750"/>
      <c r="R59" s="750"/>
      <c r="S59" s="750"/>
      <c r="T59" s="750"/>
      <c r="U59" s="750"/>
      <c r="V59" s="750"/>
      <c r="W59" s="750"/>
      <c r="X59" s="750"/>
      <c r="Y59" s="765"/>
      <c r="Z59" s="766"/>
      <c r="AA59" s="765"/>
      <c r="AB59" s="765"/>
      <c r="AC59" s="765"/>
      <c r="AD59" s="765"/>
      <c r="AE59" s="765"/>
      <c r="AF59" s="765"/>
      <c r="AG59" s="415"/>
      <c r="AH59" s="415"/>
      <c r="AI59" s="415"/>
      <c r="AJ59" s="415"/>
      <c r="AK59" s="415"/>
      <c r="AL59" s="415"/>
      <c r="AM59" s="313"/>
    </row>
    <row r="60" spans="1:39" ht="31" outlineLevel="1">
      <c r="A60" s="516">
        <v>8</v>
      </c>
      <c r="B60" s="514" t="s">
        <v>101</v>
      </c>
      <c r="C60" s="291" t="s">
        <v>25</v>
      </c>
      <c r="D60" s="295">
        <f>'7.  Persistence Report'!AU109</f>
        <v>19224</v>
      </c>
      <c r="E60" s="295">
        <f>'7.  Persistence Report'!AV109</f>
        <v>18917</v>
      </c>
      <c r="F60" s="295">
        <f>'7.  Persistence Report'!AW109</f>
        <v>9456</v>
      </c>
      <c r="G60" s="295">
        <f>'7.  Persistence Report'!AX109</f>
        <v>9456</v>
      </c>
      <c r="H60" s="295">
        <f>'7.  Persistence Report'!AY109</f>
        <v>9456</v>
      </c>
      <c r="I60" s="295">
        <f>'7.  Persistence Report'!AZ109</f>
        <v>9456</v>
      </c>
      <c r="J60" s="295">
        <f>'7.  Persistence Report'!BA109</f>
        <v>9456</v>
      </c>
      <c r="K60" s="295">
        <f>'7.  Persistence Report'!BB109</f>
        <v>9456</v>
      </c>
      <c r="L60" s="295">
        <f>'7.  Persistence Report'!BC109</f>
        <v>9456</v>
      </c>
      <c r="M60" s="295">
        <f>'7.  Persistence Report'!BD109</f>
        <v>9456</v>
      </c>
      <c r="N60" s="295">
        <v>12</v>
      </c>
      <c r="O60" s="295">
        <f>'7.  Persistence Report'!P109</f>
        <v>5</v>
      </c>
      <c r="P60" s="295">
        <f>'7.  Persistence Report'!Q109</f>
        <v>5</v>
      </c>
      <c r="Q60" s="295">
        <f>'7.  Persistence Report'!R109</f>
        <v>2</v>
      </c>
      <c r="R60" s="295">
        <f>'7.  Persistence Report'!S109</f>
        <v>2</v>
      </c>
      <c r="S60" s="295">
        <f>'7.  Persistence Report'!T109</f>
        <v>2</v>
      </c>
      <c r="T60" s="295">
        <f>'7.  Persistence Report'!U109</f>
        <v>2</v>
      </c>
      <c r="U60" s="295">
        <f>'7.  Persistence Report'!V109</f>
        <v>2</v>
      </c>
      <c r="V60" s="295">
        <f>'7.  Persistence Report'!W109</f>
        <v>2</v>
      </c>
      <c r="W60" s="295">
        <f>'7.  Persistence Report'!X109</f>
        <v>2</v>
      </c>
      <c r="X60" s="295">
        <f>'7.  Persistence Report'!Y109</f>
        <v>2</v>
      </c>
      <c r="Y60" s="764"/>
      <c r="Z60" s="779">
        <v>1</v>
      </c>
      <c r="AA60" s="759"/>
      <c r="AB60" s="759"/>
      <c r="AC60" s="759"/>
      <c r="AD60" s="759"/>
      <c r="AE60" s="759"/>
      <c r="AF60" s="764"/>
      <c r="AG60" s="414"/>
      <c r="AH60" s="414"/>
      <c r="AI60" s="414"/>
      <c r="AJ60" s="414"/>
      <c r="AK60" s="414"/>
      <c r="AL60" s="414"/>
      <c r="AM60" s="296">
        <f>SUM(Y60:AL60)</f>
        <v>1</v>
      </c>
    </row>
    <row r="61" spans="2:39" ht="15.5" outlineLevel="1">
      <c r="B61" s="294" t="s">
        <v>267</v>
      </c>
      <c r="C61" s="291" t="s">
        <v>163</v>
      </c>
      <c r="D61" s="295">
        <f>'7.  Persistence Report'!AU116</f>
        <v>-6723</v>
      </c>
      <c r="E61" s="295">
        <f>'7.  Persistence Report'!AV116</f>
        <v>-6416</v>
      </c>
      <c r="F61" s="295">
        <f>'7.  Persistence Report'!AW116</f>
        <v>3045</v>
      </c>
      <c r="G61" s="295">
        <f>'7.  Persistence Report'!AX116</f>
        <v>3140</v>
      </c>
      <c r="H61" s="295">
        <f>'7.  Persistence Report'!AY116</f>
        <v>3140</v>
      </c>
      <c r="I61" s="295">
        <f>'7.  Persistence Report'!AZ116</f>
        <v>3140</v>
      </c>
      <c r="J61" s="295">
        <f>'7.  Persistence Report'!BA116</f>
        <v>3140</v>
      </c>
      <c r="K61" s="295">
        <f>'7.  Persistence Report'!BB116</f>
        <v>3140</v>
      </c>
      <c r="L61" s="295">
        <f>'7.  Persistence Report'!BC116</f>
        <v>3140</v>
      </c>
      <c r="M61" s="295">
        <f>'7.  Persistence Report'!BD116</f>
        <v>3140</v>
      </c>
      <c r="N61" s="295">
        <f>N60</f>
        <v>12</v>
      </c>
      <c r="O61" s="295">
        <f>'7.  Persistence Report'!P116</f>
        <v>-2</v>
      </c>
      <c r="P61" s="295">
        <f>'7.  Persistence Report'!Q116</f>
        <v>-2</v>
      </c>
      <c r="Q61" s="295">
        <f>'7.  Persistence Report'!R116</f>
        <v>1</v>
      </c>
      <c r="R61" s="295">
        <f>'7.  Persistence Report'!S116</f>
        <v>1</v>
      </c>
      <c r="S61" s="295">
        <f>'7.  Persistence Report'!T116</f>
        <v>1</v>
      </c>
      <c r="T61" s="295">
        <f>'7.  Persistence Report'!U116</f>
        <v>1</v>
      </c>
      <c r="U61" s="295">
        <f>'7.  Persistence Report'!V116</f>
        <v>1</v>
      </c>
      <c r="V61" s="295">
        <f>'7.  Persistence Report'!W116</f>
        <v>1</v>
      </c>
      <c r="W61" s="295">
        <f>'7.  Persistence Report'!X116</f>
        <v>1</v>
      </c>
      <c r="X61" s="295">
        <f>'7.  Persistence Report'!Y116</f>
        <v>1</v>
      </c>
      <c r="Y61" s="760">
        <f>Y60</f>
        <v>0</v>
      </c>
      <c r="Z61" s="760">
        <f t="shared" si="44" ref="Z61:AF61">Z60</f>
        <v>1</v>
      </c>
      <c r="AA61" s="760">
        <f t="shared" si="44"/>
        <v>0</v>
      </c>
      <c r="AB61" s="760">
        <f t="shared" si="44"/>
        <v>0</v>
      </c>
      <c r="AC61" s="760">
        <f t="shared" si="44"/>
        <v>0</v>
      </c>
      <c r="AD61" s="760">
        <f t="shared" si="44"/>
        <v>0</v>
      </c>
      <c r="AE61" s="760">
        <f t="shared" si="44"/>
        <v>0</v>
      </c>
      <c r="AF61" s="760">
        <f t="shared" si="44"/>
        <v>0</v>
      </c>
      <c r="AG61" s="410">
        <f t="shared" si="45" ref="AG61">AG60</f>
        <v>0</v>
      </c>
      <c r="AH61" s="410">
        <f t="shared" si="46" ref="AH61">AH60</f>
        <v>0</v>
      </c>
      <c r="AI61" s="410">
        <f t="shared" si="47" ref="AI61">AI60</f>
        <v>0</v>
      </c>
      <c r="AJ61" s="410">
        <f t="shared" si="48" ref="AJ61">AJ60</f>
        <v>0</v>
      </c>
      <c r="AK61" s="410">
        <f t="shared" si="49" ref="AK61">AK60</f>
        <v>0</v>
      </c>
      <c r="AL61" s="410">
        <f t="shared" si="50" ref="AL61">AL60</f>
        <v>0</v>
      </c>
      <c r="AM61" s="311"/>
    </row>
    <row r="62" spans="2:39" ht="15.5" outlineLevel="1">
      <c r="B62" s="314"/>
      <c r="C62" s="312"/>
      <c r="D62" s="755"/>
      <c r="E62" s="755"/>
      <c r="F62" s="755"/>
      <c r="G62" s="755"/>
      <c r="H62" s="755"/>
      <c r="I62" s="755"/>
      <c r="J62" s="755"/>
      <c r="K62" s="755"/>
      <c r="L62" s="755"/>
      <c r="M62" s="755"/>
      <c r="N62" s="750"/>
      <c r="O62" s="755"/>
      <c r="P62" s="755"/>
      <c r="Q62" s="755"/>
      <c r="R62" s="755"/>
      <c r="S62" s="755"/>
      <c r="T62" s="755"/>
      <c r="U62" s="755"/>
      <c r="V62" s="755"/>
      <c r="W62" s="755"/>
      <c r="X62" s="755"/>
      <c r="Y62" s="765"/>
      <c r="Z62" s="766"/>
      <c r="AA62" s="765"/>
      <c r="AB62" s="765"/>
      <c r="AC62" s="765"/>
      <c r="AD62" s="765"/>
      <c r="AE62" s="765"/>
      <c r="AF62" s="765"/>
      <c r="AG62" s="415"/>
      <c r="AH62" s="415"/>
      <c r="AI62" s="415"/>
      <c r="AJ62" s="415"/>
      <c r="AK62" s="415"/>
      <c r="AL62" s="415"/>
      <c r="AM62" s="313"/>
    </row>
    <row r="63" spans="1:39" ht="31" outlineLevel="1">
      <c r="A63" s="516">
        <v>9</v>
      </c>
      <c r="B63" s="514"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764"/>
      <c r="Z63" s="759"/>
      <c r="AA63" s="759"/>
      <c r="AB63" s="759"/>
      <c r="AC63" s="759"/>
      <c r="AD63" s="759"/>
      <c r="AE63" s="759"/>
      <c r="AF63" s="764"/>
      <c r="AG63" s="414"/>
      <c r="AH63" s="414"/>
      <c r="AI63" s="414"/>
      <c r="AJ63" s="414"/>
      <c r="AK63" s="414"/>
      <c r="AL63" s="414"/>
      <c r="AM63" s="296">
        <f>SUM(Y63:AL63)</f>
        <v>0</v>
      </c>
    </row>
    <row r="64" spans="2:39" ht="15.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760">
        <f>Y63</f>
        <v>0</v>
      </c>
      <c r="Z64" s="760">
        <f t="shared" si="51" ref="Z64:AF64">Z63</f>
        <v>0</v>
      </c>
      <c r="AA64" s="760">
        <f t="shared" si="51"/>
        <v>0</v>
      </c>
      <c r="AB64" s="760">
        <f t="shared" si="51"/>
        <v>0</v>
      </c>
      <c r="AC64" s="760">
        <f t="shared" si="51"/>
        <v>0</v>
      </c>
      <c r="AD64" s="760">
        <f t="shared" si="51"/>
        <v>0</v>
      </c>
      <c r="AE64" s="760">
        <f t="shared" si="51"/>
        <v>0</v>
      </c>
      <c r="AF64" s="760">
        <f t="shared" si="51"/>
        <v>0</v>
      </c>
      <c r="AG64" s="410">
        <f t="shared" si="52" ref="AG64">AG63</f>
        <v>0</v>
      </c>
      <c r="AH64" s="410">
        <f t="shared" si="53" ref="AH64">AH63</f>
        <v>0</v>
      </c>
      <c r="AI64" s="410">
        <f t="shared" si="54" ref="AI64">AI63</f>
        <v>0</v>
      </c>
      <c r="AJ64" s="410">
        <f t="shared" si="55" ref="AJ64">AJ63</f>
        <v>0</v>
      </c>
      <c r="AK64" s="410">
        <f t="shared" si="56" ref="AK64">AK63</f>
        <v>0</v>
      </c>
      <c r="AL64" s="410">
        <f t="shared" si="57" ref="AL64">AL63</f>
        <v>0</v>
      </c>
      <c r="AM64" s="311"/>
    </row>
    <row r="65" spans="2:39" ht="15.5" outlineLevel="1">
      <c r="B65" s="314"/>
      <c r="C65" s="312"/>
      <c r="D65" s="755"/>
      <c r="E65" s="755"/>
      <c r="F65" s="755"/>
      <c r="G65" s="755"/>
      <c r="H65" s="755"/>
      <c r="I65" s="755"/>
      <c r="J65" s="755"/>
      <c r="K65" s="755"/>
      <c r="L65" s="755"/>
      <c r="M65" s="755"/>
      <c r="N65" s="750"/>
      <c r="O65" s="755"/>
      <c r="P65" s="755"/>
      <c r="Q65" s="755"/>
      <c r="R65" s="755"/>
      <c r="S65" s="755"/>
      <c r="T65" s="755"/>
      <c r="U65" s="755"/>
      <c r="V65" s="755"/>
      <c r="W65" s="755"/>
      <c r="X65" s="755"/>
      <c r="Y65" s="765"/>
      <c r="Z65" s="765"/>
      <c r="AA65" s="765"/>
      <c r="AB65" s="765"/>
      <c r="AC65" s="765"/>
      <c r="AD65" s="765"/>
      <c r="AE65" s="765"/>
      <c r="AF65" s="765"/>
      <c r="AG65" s="415"/>
      <c r="AH65" s="415"/>
      <c r="AI65" s="415"/>
      <c r="AJ65" s="415"/>
      <c r="AK65" s="415"/>
      <c r="AL65" s="415"/>
      <c r="AM65" s="313"/>
    </row>
    <row r="66" spans="1:39" ht="31" outlineLevel="1">
      <c r="A66" s="516">
        <v>10</v>
      </c>
      <c r="B66" s="514"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764"/>
      <c r="Z66" s="759"/>
      <c r="AA66" s="759"/>
      <c r="AB66" s="759"/>
      <c r="AC66" s="759"/>
      <c r="AD66" s="759"/>
      <c r="AE66" s="759"/>
      <c r="AF66" s="764"/>
      <c r="AG66" s="414"/>
      <c r="AH66" s="414"/>
      <c r="AI66" s="414"/>
      <c r="AJ66" s="414"/>
      <c r="AK66" s="414"/>
      <c r="AL66" s="414"/>
      <c r="AM66" s="296">
        <f>SUM(Y66:AL66)</f>
        <v>0</v>
      </c>
    </row>
    <row r="67" spans="2: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760">
        <f>Y66</f>
        <v>0</v>
      </c>
      <c r="Z67" s="760">
        <f t="shared" si="58" ref="Z67:AF67">Z66</f>
        <v>0</v>
      </c>
      <c r="AA67" s="760">
        <f t="shared" si="58"/>
        <v>0</v>
      </c>
      <c r="AB67" s="760">
        <f t="shared" si="58"/>
        <v>0</v>
      </c>
      <c r="AC67" s="760">
        <f t="shared" si="58"/>
        <v>0</v>
      </c>
      <c r="AD67" s="760">
        <f t="shared" si="58"/>
        <v>0</v>
      </c>
      <c r="AE67" s="760">
        <f t="shared" si="58"/>
        <v>0</v>
      </c>
      <c r="AF67" s="760">
        <f t="shared" si="58"/>
        <v>0</v>
      </c>
      <c r="AG67" s="410">
        <f t="shared" si="59" ref="AG67">AG66</f>
        <v>0</v>
      </c>
      <c r="AH67" s="410">
        <f t="shared" si="60" ref="AH67">AH66</f>
        <v>0</v>
      </c>
      <c r="AI67" s="410">
        <f t="shared" si="61" ref="AI67">AI66</f>
        <v>0</v>
      </c>
      <c r="AJ67" s="410">
        <f t="shared" si="62" ref="AJ67">AJ66</f>
        <v>0</v>
      </c>
      <c r="AK67" s="410">
        <f t="shared" si="63" ref="AK67">AK66</f>
        <v>0</v>
      </c>
      <c r="AL67" s="410">
        <f t="shared" si="64" ref="AL67">AL66</f>
        <v>0</v>
      </c>
      <c r="AM67" s="311"/>
    </row>
    <row r="68" spans="2:39" ht="15.5" outlineLevel="1">
      <c r="B68" s="314"/>
      <c r="C68" s="312"/>
      <c r="D68" s="755"/>
      <c r="E68" s="755"/>
      <c r="F68" s="755"/>
      <c r="G68" s="755"/>
      <c r="H68" s="755"/>
      <c r="I68" s="755"/>
      <c r="J68" s="755"/>
      <c r="K68" s="755"/>
      <c r="L68" s="755"/>
      <c r="M68" s="755"/>
      <c r="N68" s="750"/>
      <c r="O68" s="755"/>
      <c r="P68" s="755"/>
      <c r="Q68" s="755"/>
      <c r="R68" s="755"/>
      <c r="S68" s="755"/>
      <c r="T68" s="755"/>
      <c r="U68" s="755"/>
      <c r="V68" s="755"/>
      <c r="W68" s="755"/>
      <c r="X68" s="755"/>
      <c r="Y68" s="765"/>
      <c r="Z68" s="766"/>
      <c r="AA68" s="765"/>
      <c r="AB68" s="765"/>
      <c r="AC68" s="765"/>
      <c r="AD68" s="765"/>
      <c r="AE68" s="765"/>
      <c r="AF68" s="765"/>
      <c r="AG68" s="415"/>
      <c r="AH68" s="415"/>
      <c r="AI68" s="415"/>
      <c r="AJ68" s="415"/>
      <c r="AK68" s="415"/>
      <c r="AL68" s="415"/>
      <c r="AM68" s="313"/>
    </row>
    <row r="69" spans="2:39" ht="15.5" outlineLevel="1">
      <c r="B69" s="288" t="s">
        <v>10</v>
      </c>
      <c r="C69" s="289"/>
      <c r="D69" s="754"/>
      <c r="E69" s="754"/>
      <c r="F69" s="754"/>
      <c r="G69" s="754"/>
      <c r="H69" s="754"/>
      <c r="I69" s="754"/>
      <c r="J69" s="754"/>
      <c r="K69" s="754"/>
      <c r="L69" s="754"/>
      <c r="M69" s="754"/>
      <c r="N69" s="756"/>
      <c r="O69" s="754"/>
      <c r="P69" s="754"/>
      <c r="Q69" s="754"/>
      <c r="R69" s="754"/>
      <c r="S69" s="754"/>
      <c r="T69" s="754"/>
      <c r="U69" s="754"/>
      <c r="V69" s="754"/>
      <c r="W69" s="754"/>
      <c r="X69" s="754"/>
      <c r="Y69" s="763"/>
      <c r="Z69" s="763"/>
      <c r="AA69" s="763"/>
      <c r="AB69" s="763"/>
      <c r="AC69" s="763"/>
      <c r="AD69" s="763"/>
      <c r="AE69" s="763"/>
      <c r="AF69" s="763"/>
      <c r="AG69" s="413"/>
      <c r="AH69" s="413"/>
      <c r="AI69" s="413"/>
      <c r="AJ69" s="413"/>
      <c r="AK69" s="413"/>
      <c r="AL69" s="413"/>
      <c r="AM69" s="292"/>
    </row>
    <row r="70" spans="1:39" ht="31" outlineLevel="1">
      <c r="A70" s="516">
        <v>11</v>
      </c>
      <c r="B70" s="514"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776"/>
      <c r="Z70" s="759"/>
      <c r="AA70" s="759"/>
      <c r="AB70" s="759"/>
      <c r="AC70" s="759"/>
      <c r="AD70" s="759"/>
      <c r="AE70" s="759"/>
      <c r="AF70" s="764"/>
      <c r="AG70" s="414"/>
      <c r="AH70" s="414"/>
      <c r="AI70" s="414"/>
      <c r="AJ70" s="414"/>
      <c r="AK70" s="414"/>
      <c r="AL70" s="414"/>
      <c r="AM70" s="296">
        <f>SUM(Y70:AL70)</f>
        <v>0</v>
      </c>
    </row>
    <row r="71" spans="2: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760">
        <f>Y70</f>
        <v>0</v>
      </c>
      <c r="Z71" s="760">
        <f t="shared" si="65" ref="Z71:AF71">Z70</f>
        <v>0</v>
      </c>
      <c r="AA71" s="760">
        <f t="shared" si="65"/>
        <v>0</v>
      </c>
      <c r="AB71" s="760">
        <f t="shared" si="65"/>
        <v>0</v>
      </c>
      <c r="AC71" s="760">
        <f t="shared" si="65"/>
        <v>0</v>
      </c>
      <c r="AD71" s="760">
        <f t="shared" si="65"/>
        <v>0</v>
      </c>
      <c r="AE71" s="760">
        <f t="shared" si="65"/>
        <v>0</v>
      </c>
      <c r="AF71" s="760">
        <f t="shared" si="65"/>
        <v>0</v>
      </c>
      <c r="AG71" s="410">
        <f t="shared" si="66" ref="AG71">AG70</f>
        <v>0</v>
      </c>
      <c r="AH71" s="410">
        <f t="shared" si="67" ref="AH71">AH70</f>
        <v>0</v>
      </c>
      <c r="AI71" s="410">
        <f t="shared" si="68" ref="AI71">AI70</f>
        <v>0</v>
      </c>
      <c r="AJ71" s="410">
        <f t="shared" si="69" ref="AJ71">AJ70</f>
        <v>0</v>
      </c>
      <c r="AK71" s="410">
        <f t="shared" si="70" ref="AK71">AK70</f>
        <v>0</v>
      </c>
      <c r="AL71" s="410">
        <f t="shared" si="71" ref="AL71">AL70</f>
        <v>0</v>
      </c>
      <c r="AM71" s="297"/>
    </row>
    <row r="72" spans="2:39" ht="15.5" outlineLevel="1">
      <c r="B72" s="315"/>
      <c r="C72" s="305"/>
      <c r="D72" s="750"/>
      <c r="E72" s="750"/>
      <c r="F72" s="750"/>
      <c r="G72" s="750"/>
      <c r="H72" s="750"/>
      <c r="I72" s="750"/>
      <c r="J72" s="750"/>
      <c r="K72" s="750"/>
      <c r="L72" s="750"/>
      <c r="M72" s="750"/>
      <c r="N72" s="750"/>
      <c r="O72" s="750"/>
      <c r="P72" s="750"/>
      <c r="Q72" s="750"/>
      <c r="R72" s="750"/>
      <c r="S72" s="750"/>
      <c r="T72" s="750"/>
      <c r="U72" s="750"/>
      <c r="V72" s="750"/>
      <c r="W72" s="750"/>
      <c r="X72" s="750"/>
      <c r="Y72" s="761"/>
      <c r="Z72" s="770"/>
      <c r="AA72" s="770"/>
      <c r="AB72" s="770"/>
      <c r="AC72" s="770"/>
      <c r="AD72" s="770"/>
      <c r="AE72" s="770"/>
      <c r="AF72" s="770"/>
      <c r="AG72" s="418"/>
      <c r="AH72" s="418"/>
      <c r="AI72" s="418"/>
      <c r="AJ72" s="418"/>
      <c r="AK72" s="418"/>
      <c r="AL72" s="418"/>
      <c r="AM72" s="306"/>
    </row>
    <row r="73" spans="1:39" ht="31" outlineLevel="1">
      <c r="A73" s="516">
        <v>12</v>
      </c>
      <c r="B73" s="514"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759"/>
      <c r="Z73" s="759"/>
      <c r="AA73" s="759"/>
      <c r="AB73" s="759"/>
      <c r="AC73" s="759"/>
      <c r="AD73" s="759"/>
      <c r="AE73" s="759"/>
      <c r="AF73" s="764"/>
      <c r="AG73" s="414"/>
      <c r="AH73" s="414"/>
      <c r="AI73" s="414"/>
      <c r="AJ73" s="414"/>
      <c r="AK73" s="414"/>
      <c r="AL73" s="414"/>
      <c r="AM73" s="296">
        <f>SUM(Y73:AL73)</f>
        <v>0</v>
      </c>
    </row>
    <row r="74" spans="2:39" ht="15.5" outlineLevel="1">
      <c r="B74" s="514"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760">
        <f>Y73</f>
        <v>0</v>
      </c>
      <c r="Z74" s="760">
        <f t="shared" si="72" ref="Z74:AF74">Z73</f>
        <v>0</v>
      </c>
      <c r="AA74" s="760">
        <f t="shared" si="72"/>
        <v>0</v>
      </c>
      <c r="AB74" s="760">
        <f t="shared" si="72"/>
        <v>0</v>
      </c>
      <c r="AC74" s="760">
        <f t="shared" si="72"/>
        <v>0</v>
      </c>
      <c r="AD74" s="760">
        <f t="shared" si="72"/>
        <v>0</v>
      </c>
      <c r="AE74" s="760">
        <f t="shared" si="72"/>
        <v>0</v>
      </c>
      <c r="AF74" s="760">
        <f t="shared" si="72"/>
        <v>0</v>
      </c>
      <c r="AG74" s="410">
        <f t="shared" si="73" ref="AG74">AG73</f>
        <v>0</v>
      </c>
      <c r="AH74" s="410">
        <f t="shared" si="74" ref="AH74">AH73</f>
        <v>0</v>
      </c>
      <c r="AI74" s="410">
        <f t="shared" si="75" ref="AI74">AI73</f>
        <v>0</v>
      </c>
      <c r="AJ74" s="410">
        <f t="shared" si="76" ref="AJ74">AJ73</f>
        <v>0</v>
      </c>
      <c r="AK74" s="410">
        <f t="shared" si="77" ref="AK74">AK73</f>
        <v>0</v>
      </c>
      <c r="AL74" s="410">
        <f t="shared" si="78" ref="AL74">AL73</f>
        <v>0</v>
      </c>
      <c r="AM74" s="297"/>
    </row>
    <row r="75" spans="2:39" ht="15.5" outlineLevel="1">
      <c r="B75" s="514"/>
      <c r="C75" s="305"/>
      <c r="D75" s="750"/>
      <c r="E75" s="750"/>
      <c r="F75" s="750"/>
      <c r="G75" s="750"/>
      <c r="H75" s="750"/>
      <c r="I75" s="750"/>
      <c r="J75" s="750"/>
      <c r="K75" s="750"/>
      <c r="L75" s="750"/>
      <c r="M75" s="750"/>
      <c r="N75" s="750"/>
      <c r="O75" s="750"/>
      <c r="P75" s="750"/>
      <c r="Q75" s="750"/>
      <c r="R75" s="750"/>
      <c r="S75" s="750"/>
      <c r="T75" s="750"/>
      <c r="U75" s="750"/>
      <c r="V75" s="750"/>
      <c r="W75" s="750"/>
      <c r="X75" s="750"/>
      <c r="Y75" s="771"/>
      <c r="Z75" s="771"/>
      <c r="AA75" s="761"/>
      <c r="AB75" s="761"/>
      <c r="AC75" s="761"/>
      <c r="AD75" s="761"/>
      <c r="AE75" s="761"/>
      <c r="AF75" s="761"/>
      <c r="AG75" s="411"/>
      <c r="AH75" s="411"/>
      <c r="AI75" s="411"/>
      <c r="AJ75" s="411"/>
      <c r="AK75" s="411"/>
      <c r="AL75" s="411"/>
      <c r="AM75" s="306"/>
    </row>
    <row r="76" spans="1:39" ht="31" outlineLevel="1">
      <c r="A76" s="516">
        <v>13</v>
      </c>
      <c r="B76" s="514"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759"/>
      <c r="Z76" s="759"/>
      <c r="AA76" s="759"/>
      <c r="AB76" s="759"/>
      <c r="AC76" s="759"/>
      <c r="AD76" s="759"/>
      <c r="AE76" s="759"/>
      <c r="AF76" s="764"/>
      <c r="AG76" s="414"/>
      <c r="AH76" s="414"/>
      <c r="AI76" s="414"/>
      <c r="AJ76" s="414"/>
      <c r="AK76" s="414"/>
      <c r="AL76" s="414"/>
      <c r="AM76" s="296">
        <f>SUM(Y76:AL76)</f>
        <v>0</v>
      </c>
    </row>
    <row r="77" spans="2:39" ht="15.5" outlineLevel="1">
      <c r="B77" s="514"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760">
        <f>Y76</f>
        <v>0</v>
      </c>
      <c r="Z77" s="760">
        <f t="shared" si="79" ref="Z77:AF77">Z76</f>
        <v>0</v>
      </c>
      <c r="AA77" s="760">
        <f t="shared" si="79"/>
        <v>0</v>
      </c>
      <c r="AB77" s="760">
        <f t="shared" si="79"/>
        <v>0</v>
      </c>
      <c r="AC77" s="760">
        <f t="shared" si="79"/>
        <v>0</v>
      </c>
      <c r="AD77" s="760">
        <f t="shared" si="79"/>
        <v>0</v>
      </c>
      <c r="AE77" s="760">
        <f t="shared" si="79"/>
        <v>0</v>
      </c>
      <c r="AF77" s="760">
        <f t="shared" si="79"/>
        <v>0</v>
      </c>
      <c r="AG77" s="410">
        <f t="shared" si="80" ref="AG77:AL77">AG76</f>
        <v>0</v>
      </c>
      <c r="AH77" s="410">
        <f t="shared" si="80"/>
        <v>0</v>
      </c>
      <c r="AI77" s="410">
        <f t="shared" si="80"/>
        <v>0</v>
      </c>
      <c r="AJ77" s="410">
        <f t="shared" si="80"/>
        <v>0</v>
      </c>
      <c r="AK77" s="410">
        <f t="shared" si="80"/>
        <v>0</v>
      </c>
      <c r="AL77" s="410">
        <f t="shared" si="80"/>
        <v>0</v>
      </c>
      <c r="AM77" s="306"/>
    </row>
    <row r="78" spans="2:39" ht="15.5" outlineLevel="1">
      <c r="B78" s="514"/>
      <c r="C78" s="305"/>
      <c r="D78" s="750"/>
      <c r="E78" s="750"/>
      <c r="F78" s="750"/>
      <c r="G78" s="750"/>
      <c r="H78" s="750"/>
      <c r="I78" s="750"/>
      <c r="J78" s="750"/>
      <c r="K78" s="750"/>
      <c r="L78" s="750"/>
      <c r="M78" s="750"/>
      <c r="N78" s="750"/>
      <c r="O78" s="750"/>
      <c r="P78" s="750"/>
      <c r="Q78" s="750"/>
      <c r="R78" s="750"/>
      <c r="S78" s="750"/>
      <c r="T78" s="750"/>
      <c r="U78" s="750"/>
      <c r="V78" s="750"/>
      <c r="W78" s="750"/>
      <c r="X78" s="750"/>
      <c r="Y78" s="761"/>
      <c r="Z78" s="761"/>
      <c r="AA78" s="761"/>
      <c r="AB78" s="761"/>
      <c r="AC78" s="761"/>
      <c r="AD78" s="761"/>
      <c r="AE78" s="761"/>
      <c r="AF78" s="761"/>
      <c r="AG78" s="411"/>
      <c r="AH78" s="411"/>
      <c r="AI78" s="411"/>
      <c r="AJ78" s="411"/>
      <c r="AK78" s="411"/>
      <c r="AL78" s="411"/>
      <c r="AM78" s="306"/>
    </row>
    <row r="79" spans="2:39" ht="15.5" outlineLevel="1">
      <c r="B79" s="288" t="s">
        <v>107</v>
      </c>
      <c r="C79" s="289"/>
      <c r="D79" s="756"/>
      <c r="E79" s="756"/>
      <c r="F79" s="756"/>
      <c r="G79" s="756"/>
      <c r="H79" s="756"/>
      <c r="I79" s="756"/>
      <c r="J79" s="756"/>
      <c r="K79" s="756"/>
      <c r="L79" s="756"/>
      <c r="M79" s="756"/>
      <c r="N79" s="756"/>
      <c r="O79" s="756"/>
      <c r="P79" s="754"/>
      <c r="Q79" s="754"/>
      <c r="R79" s="754"/>
      <c r="S79" s="754"/>
      <c r="T79" s="754"/>
      <c r="U79" s="754"/>
      <c r="V79" s="754"/>
      <c r="W79" s="754"/>
      <c r="X79" s="754"/>
      <c r="Y79" s="763"/>
      <c r="Z79" s="763"/>
      <c r="AA79" s="763"/>
      <c r="AB79" s="763"/>
      <c r="AC79" s="763"/>
      <c r="AD79" s="763"/>
      <c r="AE79" s="763"/>
      <c r="AF79" s="763"/>
      <c r="AG79" s="413"/>
      <c r="AH79" s="413"/>
      <c r="AI79" s="413"/>
      <c r="AJ79" s="413"/>
      <c r="AK79" s="413"/>
      <c r="AL79" s="413"/>
      <c r="AM79" s="292"/>
    </row>
    <row r="80" spans="1:39" ht="15.5" outlineLevel="1">
      <c r="A80" s="516">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779"/>
      <c r="Z80" s="759"/>
      <c r="AA80" s="759"/>
      <c r="AB80" s="759"/>
      <c r="AC80" s="759"/>
      <c r="AD80" s="759"/>
      <c r="AE80" s="759"/>
      <c r="AF80" s="759"/>
      <c r="AG80" s="409"/>
      <c r="AH80" s="409"/>
      <c r="AI80" s="409"/>
      <c r="AJ80" s="409"/>
      <c r="AK80" s="409"/>
      <c r="AL80" s="409"/>
      <c r="AM80" s="296">
        <f>SUM(Y80:AL80)</f>
        <v>0</v>
      </c>
    </row>
    <row r="81" spans="2:39"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760">
        <f>Y80</f>
        <v>0</v>
      </c>
      <c r="Z81" s="760">
        <f t="shared" si="81" ref="Z81:AC81">Z80</f>
        <v>0</v>
      </c>
      <c r="AA81" s="760">
        <f t="shared" si="81"/>
        <v>0</v>
      </c>
      <c r="AB81" s="760">
        <f t="shared" si="81"/>
        <v>0</v>
      </c>
      <c r="AC81" s="760">
        <f t="shared" si="81"/>
        <v>0</v>
      </c>
      <c r="AD81" s="760">
        <f>AD80</f>
        <v>0</v>
      </c>
      <c r="AE81" s="760">
        <f t="shared" si="82" ref="AE81:AF81">AE80</f>
        <v>0</v>
      </c>
      <c r="AF81" s="760">
        <f t="shared" si="82"/>
        <v>0</v>
      </c>
      <c r="AG81" s="410">
        <f t="shared" si="83" ref="AG81">AG80</f>
        <v>0</v>
      </c>
      <c r="AH81" s="410">
        <f t="shared" si="84" ref="AH81">AH80</f>
        <v>0</v>
      </c>
      <c r="AI81" s="410">
        <f t="shared" si="85" ref="AI81">AI80</f>
        <v>0</v>
      </c>
      <c r="AJ81" s="410">
        <f t="shared" si="86" ref="AJ81">AJ80</f>
        <v>0</v>
      </c>
      <c r="AK81" s="410">
        <f t="shared" si="87" ref="AK81">AK80</f>
        <v>0</v>
      </c>
      <c r="AL81" s="410">
        <f t="shared" si="88" ref="AL81">AL80</f>
        <v>0</v>
      </c>
      <c r="AM81" s="297"/>
    </row>
    <row r="82" spans="1:40" s="509" customFormat="1" ht="15.5" outlineLevel="1">
      <c r="A82" s="517"/>
      <c r="B82" s="294"/>
      <c r="C82" s="291"/>
      <c r="D82" s="750"/>
      <c r="E82" s="750"/>
      <c r="F82" s="750"/>
      <c r="G82" s="750"/>
      <c r="H82" s="750"/>
      <c r="I82" s="750"/>
      <c r="J82" s="750"/>
      <c r="K82" s="750"/>
      <c r="L82" s="750"/>
      <c r="M82" s="750"/>
      <c r="N82" s="751"/>
      <c r="O82" s="750"/>
      <c r="P82" s="750"/>
      <c r="Q82" s="750"/>
      <c r="R82" s="750"/>
      <c r="S82" s="750"/>
      <c r="T82" s="750"/>
      <c r="U82" s="750"/>
      <c r="V82" s="750"/>
      <c r="W82" s="750"/>
      <c r="X82" s="750"/>
      <c r="Y82" s="760"/>
      <c r="Z82" s="760"/>
      <c r="AA82" s="760"/>
      <c r="AB82" s="760"/>
      <c r="AC82" s="760"/>
      <c r="AD82" s="760"/>
      <c r="AE82" s="760"/>
      <c r="AF82" s="760"/>
      <c r="AG82" s="410"/>
      <c r="AH82" s="410"/>
      <c r="AI82" s="410"/>
      <c r="AJ82" s="410"/>
      <c r="AK82" s="410"/>
      <c r="AL82" s="410"/>
      <c r="AM82" s="510"/>
      <c r="AN82" s="623"/>
    </row>
    <row r="83" spans="1:40" s="309" customFormat="1" ht="15.5" outlineLevel="1">
      <c r="A83" s="517"/>
      <c r="B83" s="288" t="s">
        <v>489</v>
      </c>
      <c r="C83" s="291"/>
      <c r="D83" s="750"/>
      <c r="E83" s="750"/>
      <c r="F83" s="750"/>
      <c r="G83" s="750"/>
      <c r="H83" s="750"/>
      <c r="I83" s="750"/>
      <c r="J83" s="750"/>
      <c r="K83" s="750"/>
      <c r="L83" s="750"/>
      <c r="M83" s="750"/>
      <c r="N83" s="750"/>
      <c r="O83" s="750"/>
      <c r="P83" s="750"/>
      <c r="Q83" s="750"/>
      <c r="R83" s="750"/>
      <c r="S83" s="750"/>
      <c r="T83" s="750"/>
      <c r="U83" s="750"/>
      <c r="V83" s="750"/>
      <c r="W83" s="750"/>
      <c r="X83" s="750"/>
      <c r="Y83" s="761"/>
      <c r="Z83" s="761"/>
      <c r="AA83" s="761"/>
      <c r="AB83" s="761"/>
      <c r="AC83" s="761"/>
      <c r="AD83" s="761"/>
      <c r="AE83" s="765"/>
      <c r="AF83" s="765"/>
      <c r="AG83" s="415"/>
      <c r="AH83" s="415"/>
      <c r="AI83" s="415"/>
      <c r="AJ83" s="415"/>
      <c r="AK83" s="415"/>
      <c r="AL83" s="415"/>
      <c r="AM83" s="511"/>
      <c r="AN83" s="624"/>
    </row>
    <row r="84" spans="1:39" ht="15.5" outlineLevel="1">
      <c r="A84" s="516">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759"/>
      <c r="Z84" s="759"/>
      <c r="AA84" s="759"/>
      <c r="AB84" s="759"/>
      <c r="AC84" s="759"/>
      <c r="AD84" s="759"/>
      <c r="AE84" s="759"/>
      <c r="AF84" s="759"/>
      <c r="AG84" s="409"/>
      <c r="AH84" s="409"/>
      <c r="AI84" s="409"/>
      <c r="AJ84" s="409"/>
      <c r="AK84" s="409"/>
      <c r="AL84" s="409"/>
      <c r="AM84" s="296">
        <f>SUM(Y84:AL84)</f>
        <v>0</v>
      </c>
    </row>
    <row r="85" spans="2:39"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760">
        <f>Y84</f>
        <v>0</v>
      </c>
      <c r="Z85" s="760">
        <f t="shared" si="89" ref="Z85:AC85">Z84</f>
        <v>0</v>
      </c>
      <c r="AA85" s="760">
        <f t="shared" si="89"/>
        <v>0</v>
      </c>
      <c r="AB85" s="760">
        <f t="shared" si="89"/>
        <v>0</v>
      </c>
      <c r="AC85" s="760">
        <f t="shared" si="89"/>
        <v>0</v>
      </c>
      <c r="AD85" s="760">
        <f>AD84</f>
        <v>0</v>
      </c>
      <c r="AE85" s="760">
        <f t="shared" si="90" ref="AE85:AF85">AE84</f>
        <v>0</v>
      </c>
      <c r="AF85" s="760">
        <f t="shared" si="90"/>
        <v>0</v>
      </c>
      <c r="AG85" s="410">
        <f t="shared" si="91" ref="AG85:AL85">AG84</f>
        <v>0</v>
      </c>
      <c r="AH85" s="410">
        <f t="shared" si="91"/>
        <v>0</v>
      </c>
      <c r="AI85" s="410">
        <f t="shared" si="91"/>
        <v>0</v>
      </c>
      <c r="AJ85" s="410">
        <f t="shared" si="91"/>
        <v>0</v>
      </c>
      <c r="AK85" s="410">
        <f t="shared" si="91"/>
        <v>0</v>
      </c>
      <c r="AL85" s="410">
        <f t="shared" si="91"/>
        <v>0</v>
      </c>
      <c r="AM85" s="297"/>
    </row>
    <row r="86" spans="2:39" ht="15.5" outlineLevel="1">
      <c r="B86" s="315"/>
      <c r="C86" s="305"/>
      <c r="D86" s="750"/>
      <c r="E86" s="750"/>
      <c r="F86" s="750"/>
      <c r="G86" s="750"/>
      <c r="H86" s="750"/>
      <c r="I86" s="750"/>
      <c r="J86" s="750"/>
      <c r="K86" s="750"/>
      <c r="L86" s="750"/>
      <c r="M86" s="750"/>
      <c r="N86" s="750"/>
      <c r="O86" s="750"/>
      <c r="P86" s="750"/>
      <c r="Q86" s="750"/>
      <c r="R86" s="750"/>
      <c r="S86" s="750"/>
      <c r="T86" s="750"/>
      <c r="U86" s="750"/>
      <c r="V86" s="750"/>
      <c r="W86" s="750"/>
      <c r="X86" s="750"/>
      <c r="Y86" s="761"/>
      <c r="Z86" s="761"/>
      <c r="AA86" s="761"/>
      <c r="AB86" s="761"/>
      <c r="AC86" s="761"/>
      <c r="AD86" s="761"/>
      <c r="AE86" s="761"/>
      <c r="AF86" s="761"/>
      <c r="AG86" s="411"/>
      <c r="AH86" s="411"/>
      <c r="AI86" s="411"/>
      <c r="AJ86" s="411"/>
      <c r="AK86" s="411"/>
      <c r="AL86" s="411"/>
      <c r="AM86" s="306"/>
    </row>
    <row r="87" spans="1:39" s="283" customFormat="1" ht="15.5" outlineLevel="1">
      <c r="A87" s="516">
        <v>16</v>
      </c>
      <c r="B87" s="323"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759"/>
      <c r="Z87" s="759"/>
      <c r="AA87" s="759"/>
      <c r="AB87" s="759"/>
      <c r="AC87" s="759"/>
      <c r="AD87" s="759"/>
      <c r="AE87" s="759"/>
      <c r="AF87" s="759"/>
      <c r="AG87" s="409"/>
      <c r="AH87" s="409"/>
      <c r="AI87" s="409"/>
      <c r="AJ87" s="409"/>
      <c r="AK87" s="409"/>
      <c r="AL87" s="409"/>
      <c r="AM87" s="296">
        <f>SUM(Y87:AL87)</f>
        <v>0</v>
      </c>
    </row>
    <row r="88" spans="1:39" s="283" customFormat="1" ht="15.5" outlineLevel="1">
      <c r="A88" s="516"/>
      <c r="B88" s="323"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760">
        <f>Y87</f>
        <v>0</v>
      </c>
      <c r="Z88" s="760">
        <f t="shared" si="92" ref="Z88:AC88">Z87</f>
        <v>0</v>
      </c>
      <c r="AA88" s="760">
        <f t="shared" si="92"/>
        <v>0</v>
      </c>
      <c r="AB88" s="760">
        <f t="shared" si="92"/>
        <v>0</v>
      </c>
      <c r="AC88" s="760">
        <f t="shared" si="92"/>
        <v>0</v>
      </c>
      <c r="AD88" s="760">
        <f>AD87</f>
        <v>0</v>
      </c>
      <c r="AE88" s="760">
        <f t="shared" si="93" ref="AE88:AF88">AE87</f>
        <v>0</v>
      </c>
      <c r="AF88" s="760">
        <f t="shared" si="93"/>
        <v>0</v>
      </c>
      <c r="AG88" s="410">
        <f t="shared" si="94" ref="AG88:AL88">AG87</f>
        <v>0</v>
      </c>
      <c r="AH88" s="410">
        <f t="shared" si="94"/>
        <v>0</v>
      </c>
      <c r="AI88" s="410">
        <f t="shared" si="94"/>
        <v>0</v>
      </c>
      <c r="AJ88" s="410">
        <f t="shared" si="94"/>
        <v>0</v>
      </c>
      <c r="AK88" s="410">
        <f t="shared" si="94"/>
        <v>0</v>
      </c>
      <c r="AL88" s="410">
        <f t="shared" si="94"/>
        <v>0</v>
      </c>
      <c r="AM88" s="297"/>
    </row>
    <row r="89" spans="1:39" s="283" customFormat="1" ht="15.5" outlineLevel="1">
      <c r="A89" s="516"/>
      <c r="B89" s="323"/>
      <c r="C89" s="291"/>
      <c r="D89" s="750"/>
      <c r="E89" s="750"/>
      <c r="F89" s="750"/>
      <c r="G89" s="750"/>
      <c r="H89" s="750"/>
      <c r="I89" s="750"/>
      <c r="J89" s="750"/>
      <c r="K89" s="750"/>
      <c r="L89" s="750"/>
      <c r="M89" s="750"/>
      <c r="N89" s="750"/>
      <c r="O89" s="750"/>
      <c r="P89" s="750"/>
      <c r="Q89" s="750"/>
      <c r="R89" s="750"/>
      <c r="S89" s="750"/>
      <c r="T89" s="750"/>
      <c r="U89" s="750"/>
      <c r="V89" s="750"/>
      <c r="W89" s="750"/>
      <c r="X89" s="750"/>
      <c r="Y89" s="761"/>
      <c r="Z89" s="761"/>
      <c r="AA89" s="761"/>
      <c r="AB89" s="761"/>
      <c r="AC89" s="761"/>
      <c r="AD89" s="761"/>
      <c r="AE89" s="765"/>
      <c r="AF89" s="765"/>
      <c r="AG89" s="415"/>
      <c r="AH89" s="415"/>
      <c r="AI89" s="415"/>
      <c r="AJ89" s="415"/>
      <c r="AK89" s="415"/>
      <c r="AL89" s="415"/>
      <c r="AM89" s="313"/>
    </row>
    <row r="90" spans="2:39" ht="15.5" outlineLevel="1">
      <c r="B90" s="513" t="s">
        <v>495</v>
      </c>
      <c r="C90" s="319"/>
      <c r="D90" s="756"/>
      <c r="E90" s="754"/>
      <c r="F90" s="754"/>
      <c r="G90" s="754"/>
      <c r="H90" s="754"/>
      <c r="I90" s="754"/>
      <c r="J90" s="754"/>
      <c r="K90" s="754"/>
      <c r="L90" s="754"/>
      <c r="M90" s="754"/>
      <c r="N90" s="756"/>
      <c r="O90" s="754"/>
      <c r="P90" s="754"/>
      <c r="Q90" s="754"/>
      <c r="R90" s="754"/>
      <c r="S90" s="754"/>
      <c r="T90" s="754"/>
      <c r="U90" s="754"/>
      <c r="V90" s="754"/>
      <c r="W90" s="754"/>
      <c r="X90" s="754"/>
      <c r="Y90" s="763"/>
      <c r="Z90" s="763"/>
      <c r="AA90" s="763"/>
      <c r="AB90" s="763"/>
      <c r="AC90" s="763"/>
      <c r="AD90" s="763"/>
      <c r="AE90" s="763"/>
      <c r="AF90" s="763"/>
      <c r="AG90" s="413"/>
      <c r="AH90" s="413"/>
      <c r="AI90" s="413"/>
      <c r="AJ90" s="413"/>
      <c r="AK90" s="413"/>
      <c r="AL90" s="413"/>
      <c r="AM90" s="292"/>
    </row>
    <row r="91" spans="1:39" ht="15.5" outlineLevel="1">
      <c r="A91" s="516">
        <v>17</v>
      </c>
      <c r="B91" s="514"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776"/>
      <c r="Z91" s="759"/>
      <c r="AA91" s="759"/>
      <c r="AB91" s="759"/>
      <c r="AC91" s="759"/>
      <c r="AD91" s="759"/>
      <c r="AE91" s="759"/>
      <c r="AF91" s="764"/>
      <c r="AG91" s="414"/>
      <c r="AH91" s="414"/>
      <c r="AI91" s="414"/>
      <c r="AJ91" s="414"/>
      <c r="AK91" s="414"/>
      <c r="AL91" s="414"/>
      <c r="AM91" s="296">
        <f>SUM(Y91:AL91)</f>
        <v>0</v>
      </c>
    </row>
    <row r="92" spans="2:39"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760">
        <f>Y91</f>
        <v>0</v>
      </c>
      <c r="Z92" s="760">
        <f t="shared" si="95" ref="Z92:AF92">Z91</f>
        <v>0</v>
      </c>
      <c r="AA92" s="760">
        <f t="shared" si="95"/>
        <v>0</v>
      </c>
      <c r="AB92" s="760">
        <f t="shared" si="95"/>
        <v>0</v>
      </c>
      <c r="AC92" s="760">
        <f t="shared" si="95"/>
        <v>0</v>
      </c>
      <c r="AD92" s="760">
        <f t="shared" si="95"/>
        <v>0</v>
      </c>
      <c r="AE92" s="760">
        <f t="shared" si="95"/>
        <v>0</v>
      </c>
      <c r="AF92" s="760">
        <f t="shared" si="95"/>
        <v>0</v>
      </c>
      <c r="AG92" s="410">
        <f t="shared" si="96" ref="AG92:AL92">AG91</f>
        <v>0</v>
      </c>
      <c r="AH92" s="410">
        <f t="shared" si="96"/>
        <v>0</v>
      </c>
      <c r="AI92" s="410">
        <f t="shared" si="96"/>
        <v>0</v>
      </c>
      <c r="AJ92" s="410">
        <f t="shared" si="96"/>
        <v>0</v>
      </c>
      <c r="AK92" s="410">
        <f t="shared" si="96"/>
        <v>0</v>
      </c>
      <c r="AL92" s="410">
        <f t="shared" si="96"/>
        <v>0</v>
      </c>
      <c r="AM92" s="306"/>
    </row>
    <row r="93" spans="2:39" ht="15.5" outlineLevel="1">
      <c r="B93" s="294"/>
      <c r="C93" s="291"/>
      <c r="D93" s="750"/>
      <c r="E93" s="750"/>
      <c r="F93" s="750"/>
      <c r="G93" s="750"/>
      <c r="H93" s="750"/>
      <c r="I93" s="750"/>
      <c r="J93" s="750"/>
      <c r="K93" s="750"/>
      <c r="L93" s="750"/>
      <c r="M93" s="750"/>
      <c r="N93" s="750"/>
      <c r="O93" s="750"/>
      <c r="P93" s="750"/>
      <c r="Q93" s="750"/>
      <c r="R93" s="750"/>
      <c r="S93" s="750"/>
      <c r="T93" s="750"/>
      <c r="U93" s="750"/>
      <c r="V93" s="750"/>
      <c r="W93" s="750"/>
      <c r="X93" s="750"/>
      <c r="Y93" s="771"/>
      <c r="Z93" s="780"/>
      <c r="AA93" s="780"/>
      <c r="AB93" s="780"/>
      <c r="AC93" s="780"/>
      <c r="AD93" s="780"/>
      <c r="AE93" s="780"/>
      <c r="AF93" s="780"/>
      <c r="AG93" s="422"/>
      <c r="AH93" s="422"/>
      <c r="AI93" s="422"/>
      <c r="AJ93" s="422"/>
      <c r="AK93" s="422"/>
      <c r="AL93" s="422"/>
      <c r="AM93" s="306"/>
    </row>
    <row r="94" spans="1:39" ht="15.5" outlineLevel="1">
      <c r="A94" s="516">
        <v>18</v>
      </c>
      <c r="B94" s="514"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776"/>
      <c r="Z94" s="759"/>
      <c r="AA94" s="759"/>
      <c r="AB94" s="759"/>
      <c r="AC94" s="759"/>
      <c r="AD94" s="759"/>
      <c r="AE94" s="759"/>
      <c r="AF94" s="764"/>
      <c r="AG94" s="414"/>
      <c r="AH94" s="414"/>
      <c r="AI94" s="414"/>
      <c r="AJ94" s="414"/>
      <c r="AK94" s="414"/>
      <c r="AL94" s="414"/>
      <c r="AM94" s="296">
        <f>SUM(Y94:AL94)</f>
        <v>0</v>
      </c>
    </row>
    <row r="95" spans="2:39"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760">
        <f>Y94</f>
        <v>0</v>
      </c>
      <c r="Z95" s="760">
        <f t="shared" si="97" ref="Z95:AF95">Z94</f>
        <v>0</v>
      </c>
      <c r="AA95" s="760">
        <f t="shared" si="97"/>
        <v>0</v>
      </c>
      <c r="AB95" s="760">
        <f t="shared" si="97"/>
        <v>0</v>
      </c>
      <c r="AC95" s="760">
        <f t="shared" si="97"/>
        <v>0</v>
      </c>
      <c r="AD95" s="760">
        <f t="shared" si="97"/>
        <v>0</v>
      </c>
      <c r="AE95" s="760">
        <f t="shared" si="97"/>
        <v>0</v>
      </c>
      <c r="AF95" s="760">
        <f t="shared" si="97"/>
        <v>0</v>
      </c>
      <c r="AG95" s="410">
        <f t="shared" si="98" ref="AG95">AG94</f>
        <v>0</v>
      </c>
      <c r="AH95" s="410">
        <f t="shared" si="99" ref="AH95">AH94</f>
        <v>0</v>
      </c>
      <c r="AI95" s="410">
        <f t="shared" si="100" ref="AI95">AI94</f>
        <v>0</v>
      </c>
      <c r="AJ95" s="410">
        <f t="shared" si="101" ref="AJ95">AJ94</f>
        <v>0</v>
      </c>
      <c r="AK95" s="410">
        <f t="shared" si="102" ref="AK95">AK94</f>
        <v>0</v>
      </c>
      <c r="AL95" s="410">
        <f t="shared" si="103" ref="AL95">AL94</f>
        <v>0</v>
      </c>
      <c r="AM95" s="306"/>
    </row>
    <row r="96" spans="2:39" ht="15.5" outlineLevel="1">
      <c r="B96" s="321"/>
      <c r="C96" s="291"/>
      <c r="D96" s="750"/>
      <c r="E96" s="750"/>
      <c r="F96" s="750"/>
      <c r="G96" s="750"/>
      <c r="H96" s="750"/>
      <c r="I96" s="750"/>
      <c r="J96" s="750"/>
      <c r="K96" s="750"/>
      <c r="L96" s="750"/>
      <c r="M96" s="750"/>
      <c r="N96" s="750"/>
      <c r="O96" s="750"/>
      <c r="P96" s="750"/>
      <c r="Q96" s="750"/>
      <c r="R96" s="750"/>
      <c r="S96" s="750"/>
      <c r="T96" s="750"/>
      <c r="U96" s="750"/>
      <c r="V96" s="750"/>
      <c r="W96" s="750"/>
      <c r="X96" s="750"/>
      <c r="Y96" s="772"/>
      <c r="Z96" s="773"/>
      <c r="AA96" s="773"/>
      <c r="AB96" s="773"/>
      <c r="AC96" s="773"/>
      <c r="AD96" s="773"/>
      <c r="AE96" s="773"/>
      <c r="AF96" s="773"/>
      <c r="AG96" s="421"/>
      <c r="AH96" s="421"/>
      <c r="AI96" s="421"/>
      <c r="AJ96" s="421"/>
      <c r="AK96" s="421"/>
      <c r="AL96" s="421"/>
      <c r="AM96" s="297"/>
    </row>
    <row r="97" spans="1:39" ht="15.5" outlineLevel="1">
      <c r="A97" s="516">
        <v>19</v>
      </c>
      <c r="B97" s="514"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776"/>
      <c r="Z97" s="759"/>
      <c r="AA97" s="759"/>
      <c r="AB97" s="759"/>
      <c r="AC97" s="759"/>
      <c r="AD97" s="759"/>
      <c r="AE97" s="759"/>
      <c r="AF97" s="764"/>
      <c r="AG97" s="414"/>
      <c r="AH97" s="414"/>
      <c r="AI97" s="414"/>
      <c r="AJ97" s="414"/>
      <c r="AK97" s="414"/>
      <c r="AL97" s="414"/>
      <c r="AM97" s="296">
        <f>SUM(Y97:AL97)</f>
        <v>0</v>
      </c>
    </row>
    <row r="98" spans="2: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760">
        <f>Y97</f>
        <v>0</v>
      </c>
      <c r="Z98" s="760">
        <f t="shared" si="104" ref="Z98:AF98">Z97</f>
        <v>0</v>
      </c>
      <c r="AA98" s="760">
        <f t="shared" si="104"/>
        <v>0</v>
      </c>
      <c r="AB98" s="760">
        <f t="shared" si="104"/>
        <v>0</v>
      </c>
      <c r="AC98" s="760">
        <f t="shared" si="104"/>
        <v>0</v>
      </c>
      <c r="AD98" s="760">
        <f t="shared" si="104"/>
        <v>0</v>
      </c>
      <c r="AE98" s="760">
        <f t="shared" si="104"/>
        <v>0</v>
      </c>
      <c r="AF98" s="760">
        <f t="shared" si="104"/>
        <v>0</v>
      </c>
      <c r="AG98" s="410">
        <f t="shared" si="105" ref="AG98:AL98">AG97</f>
        <v>0</v>
      </c>
      <c r="AH98" s="410">
        <f t="shared" si="105"/>
        <v>0</v>
      </c>
      <c r="AI98" s="410">
        <f t="shared" si="105"/>
        <v>0</v>
      </c>
      <c r="AJ98" s="410">
        <f t="shared" si="105"/>
        <v>0</v>
      </c>
      <c r="AK98" s="410">
        <f t="shared" si="105"/>
        <v>0</v>
      </c>
      <c r="AL98" s="410">
        <f t="shared" si="105"/>
        <v>0</v>
      </c>
      <c r="AM98" s="297"/>
    </row>
    <row r="99" spans="2:39" ht="15.5" outlineLevel="1">
      <c r="B99" s="321"/>
      <c r="C99" s="291"/>
      <c r="D99" s="750"/>
      <c r="E99" s="750"/>
      <c r="F99" s="750"/>
      <c r="G99" s="750"/>
      <c r="H99" s="750"/>
      <c r="I99" s="750"/>
      <c r="J99" s="750"/>
      <c r="K99" s="750"/>
      <c r="L99" s="750"/>
      <c r="M99" s="750"/>
      <c r="N99" s="750"/>
      <c r="O99" s="750"/>
      <c r="P99" s="750"/>
      <c r="Q99" s="750"/>
      <c r="R99" s="750"/>
      <c r="S99" s="750"/>
      <c r="T99" s="750"/>
      <c r="U99" s="750"/>
      <c r="V99" s="750"/>
      <c r="W99" s="750"/>
      <c r="X99" s="750"/>
      <c r="Y99" s="761"/>
      <c r="Z99" s="761"/>
      <c r="AA99" s="761"/>
      <c r="AB99" s="761"/>
      <c r="AC99" s="761"/>
      <c r="AD99" s="761"/>
      <c r="AE99" s="761"/>
      <c r="AF99" s="761"/>
      <c r="AG99" s="411"/>
      <c r="AH99" s="411"/>
      <c r="AI99" s="411"/>
      <c r="AJ99" s="411"/>
      <c r="AK99" s="411"/>
      <c r="AL99" s="411"/>
      <c r="AM99" s="306"/>
    </row>
    <row r="100" spans="1:39" ht="15.5" outlineLevel="1">
      <c r="A100" s="516">
        <v>20</v>
      </c>
      <c r="B100" s="514"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776"/>
      <c r="Z100" s="759"/>
      <c r="AA100" s="759"/>
      <c r="AB100" s="759"/>
      <c r="AC100" s="759"/>
      <c r="AD100" s="759"/>
      <c r="AE100" s="759"/>
      <c r="AF100" s="764"/>
      <c r="AG100" s="414"/>
      <c r="AH100" s="414"/>
      <c r="AI100" s="414"/>
      <c r="AJ100" s="414"/>
      <c r="AK100" s="414"/>
      <c r="AL100" s="414"/>
      <c r="AM100" s="296">
        <f>SUM(Y100:AL100)</f>
        <v>0</v>
      </c>
    </row>
    <row r="101" spans="2: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760">
        <f t="shared" si="106" ref="Y101:AF101">Y100</f>
        <v>0</v>
      </c>
      <c r="Z101" s="760">
        <f t="shared" si="106"/>
        <v>0</v>
      </c>
      <c r="AA101" s="760">
        <f t="shared" si="106"/>
        <v>0</v>
      </c>
      <c r="AB101" s="760">
        <f t="shared" si="106"/>
        <v>0</v>
      </c>
      <c r="AC101" s="760">
        <f t="shared" si="106"/>
        <v>0</v>
      </c>
      <c r="AD101" s="760">
        <f t="shared" si="106"/>
        <v>0</v>
      </c>
      <c r="AE101" s="760">
        <f t="shared" si="106"/>
        <v>0</v>
      </c>
      <c r="AF101" s="760">
        <f t="shared" si="106"/>
        <v>0</v>
      </c>
      <c r="AG101" s="410">
        <f t="shared" si="107" ref="AG101:AL101">AG100</f>
        <v>0</v>
      </c>
      <c r="AH101" s="410">
        <f t="shared" si="107"/>
        <v>0</v>
      </c>
      <c r="AI101" s="410">
        <f t="shared" si="107"/>
        <v>0</v>
      </c>
      <c r="AJ101" s="410">
        <f t="shared" si="107"/>
        <v>0</v>
      </c>
      <c r="AK101" s="410">
        <f t="shared" si="107"/>
        <v>0</v>
      </c>
      <c r="AL101" s="410">
        <f t="shared" si="107"/>
        <v>0</v>
      </c>
      <c r="AM101" s="306"/>
    </row>
    <row r="102" spans="2:39" ht="15.5" outlineLevel="1">
      <c r="B102" s="322"/>
      <c r="C102" s="300"/>
      <c r="D102" s="750"/>
      <c r="E102" s="750"/>
      <c r="F102" s="750"/>
      <c r="G102" s="750"/>
      <c r="H102" s="750"/>
      <c r="I102" s="750"/>
      <c r="J102" s="750"/>
      <c r="K102" s="750"/>
      <c r="L102" s="750"/>
      <c r="M102" s="750"/>
      <c r="N102" s="758"/>
      <c r="O102" s="750"/>
      <c r="P102" s="750"/>
      <c r="Q102" s="750"/>
      <c r="R102" s="750"/>
      <c r="S102" s="750"/>
      <c r="T102" s="750"/>
      <c r="U102" s="750"/>
      <c r="V102" s="750"/>
      <c r="W102" s="750"/>
      <c r="X102" s="750"/>
      <c r="Y102" s="761"/>
      <c r="Z102" s="761"/>
      <c r="AA102" s="761"/>
      <c r="AB102" s="761"/>
      <c r="AC102" s="761"/>
      <c r="AD102" s="761"/>
      <c r="AE102" s="761"/>
      <c r="AF102" s="761"/>
      <c r="AG102" s="411"/>
      <c r="AH102" s="411"/>
      <c r="AI102" s="411"/>
      <c r="AJ102" s="411"/>
      <c r="AK102" s="411"/>
      <c r="AL102" s="411"/>
      <c r="AM102" s="306"/>
    </row>
    <row r="103" spans="2:39" ht="15.5" outlineLevel="1">
      <c r="B103" s="512" t="s">
        <v>502</v>
      </c>
      <c r="C103" s="291"/>
      <c r="D103" s="750"/>
      <c r="E103" s="750"/>
      <c r="F103" s="750"/>
      <c r="G103" s="750"/>
      <c r="H103" s="750"/>
      <c r="I103" s="750"/>
      <c r="J103" s="750"/>
      <c r="K103" s="750"/>
      <c r="L103" s="750"/>
      <c r="M103" s="750"/>
      <c r="N103" s="750"/>
      <c r="O103" s="750"/>
      <c r="P103" s="750"/>
      <c r="Q103" s="750"/>
      <c r="R103" s="750"/>
      <c r="S103" s="750"/>
      <c r="T103" s="750"/>
      <c r="U103" s="750"/>
      <c r="V103" s="750"/>
      <c r="W103" s="750"/>
      <c r="X103" s="750"/>
      <c r="Y103" s="771"/>
      <c r="Z103" s="780"/>
      <c r="AA103" s="780"/>
      <c r="AB103" s="780"/>
      <c r="AC103" s="780"/>
      <c r="AD103" s="780"/>
      <c r="AE103" s="780"/>
      <c r="AF103" s="780"/>
      <c r="AG103" s="422"/>
      <c r="AH103" s="422"/>
      <c r="AI103" s="422"/>
      <c r="AJ103" s="422"/>
      <c r="AK103" s="422"/>
      <c r="AL103" s="422"/>
      <c r="AM103" s="306"/>
    </row>
    <row r="104" spans="2:39" ht="15.5" outlineLevel="1">
      <c r="B104" s="288" t="s">
        <v>498</v>
      </c>
      <c r="C104" s="291"/>
      <c r="D104" s="750"/>
      <c r="E104" s="750"/>
      <c r="F104" s="750"/>
      <c r="G104" s="750"/>
      <c r="H104" s="750"/>
      <c r="I104" s="750"/>
      <c r="J104" s="750"/>
      <c r="K104" s="750"/>
      <c r="L104" s="750"/>
      <c r="M104" s="750"/>
      <c r="N104" s="750"/>
      <c r="O104" s="750"/>
      <c r="P104" s="750"/>
      <c r="Q104" s="750"/>
      <c r="R104" s="750"/>
      <c r="S104" s="750"/>
      <c r="T104" s="750"/>
      <c r="U104" s="750"/>
      <c r="V104" s="750"/>
      <c r="W104" s="750"/>
      <c r="X104" s="750"/>
      <c r="Y104" s="771"/>
      <c r="Z104" s="780"/>
      <c r="AA104" s="780"/>
      <c r="AB104" s="780"/>
      <c r="AC104" s="780"/>
      <c r="AD104" s="780"/>
      <c r="AE104" s="780"/>
      <c r="AF104" s="780"/>
      <c r="AG104" s="422"/>
      <c r="AH104" s="422"/>
      <c r="AI104" s="422"/>
      <c r="AJ104" s="422"/>
      <c r="AK104" s="422"/>
      <c r="AL104" s="422"/>
      <c r="AM104" s="306"/>
    </row>
    <row r="105" spans="1:39" ht="15.5" outlineLevel="1">
      <c r="A105" s="516">
        <v>21</v>
      </c>
      <c r="B105" s="514" t="s">
        <v>113</v>
      </c>
      <c r="C105" s="291" t="s">
        <v>25</v>
      </c>
      <c r="D105" s="295"/>
      <c r="E105" s="295"/>
      <c r="F105" s="295"/>
      <c r="G105" s="295"/>
      <c r="H105" s="295"/>
      <c r="I105" s="295"/>
      <c r="J105" s="295"/>
      <c r="K105" s="295"/>
      <c r="L105" s="295"/>
      <c r="M105" s="295"/>
      <c r="N105" s="750"/>
      <c r="O105" s="295"/>
      <c r="P105" s="295"/>
      <c r="Q105" s="295"/>
      <c r="R105" s="295"/>
      <c r="S105" s="295"/>
      <c r="T105" s="295"/>
      <c r="U105" s="295"/>
      <c r="V105" s="295"/>
      <c r="W105" s="295"/>
      <c r="X105" s="295"/>
      <c r="Y105" s="779"/>
      <c r="Z105" s="759"/>
      <c r="AA105" s="759"/>
      <c r="AB105" s="759"/>
      <c r="AC105" s="759"/>
      <c r="AD105" s="759"/>
      <c r="AE105" s="759"/>
      <c r="AF105" s="759"/>
      <c r="AG105" s="409"/>
      <c r="AH105" s="409"/>
      <c r="AI105" s="409"/>
      <c r="AJ105" s="409"/>
      <c r="AK105" s="409"/>
      <c r="AL105" s="409"/>
      <c r="AM105" s="296">
        <f>SUM(Y105:AL105)</f>
        <v>0</v>
      </c>
    </row>
    <row r="106" spans="2:39" ht="15.5" outlineLevel="1">
      <c r="B106" s="294" t="s">
        <v>267</v>
      </c>
      <c r="C106" s="291" t="s">
        <v>163</v>
      </c>
      <c r="D106" s="295"/>
      <c r="E106" s="295"/>
      <c r="F106" s="295"/>
      <c r="G106" s="295"/>
      <c r="H106" s="295"/>
      <c r="I106" s="295"/>
      <c r="J106" s="295"/>
      <c r="K106" s="295"/>
      <c r="L106" s="295"/>
      <c r="M106" s="295"/>
      <c r="N106" s="750"/>
      <c r="O106" s="295"/>
      <c r="P106" s="295"/>
      <c r="Q106" s="295"/>
      <c r="R106" s="295"/>
      <c r="S106" s="295"/>
      <c r="T106" s="295"/>
      <c r="U106" s="295"/>
      <c r="V106" s="295"/>
      <c r="W106" s="295"/>
      <c r="X106" s="295"/>
      <c r="Y106" s="760">
        <f>Y105</f>
        <v>0</v>
      </c>
      <c r="Z106" s="760">
        <f t="shared" si="108" ref="Z106:AF106">Z105</f>
        <v>0</v>
      </c>
      <c r="AA106" s="760">
        <f t="shared" si="108"/>
        <v>0</v>
      </c>
      <c r="AB106" s="760">
        <f t="shared" si="108"/>
        <v>0</v>
      </c>
      <c r="AC106" s="760">
        <f t="shared" si="108"/>
        <v>0</v>
      </c>
      <c r="AD106" s="760">
        <f t="shared" si="108"/>
        <v>0</v>
      </c>
      <c r="AE106" s="760">
        <f t="shared" si="108"/>
        <v>0</v>
      </c>
      <c r="AF106" s="760">
        <f t="shared" si="108"/>
        <v>0</v>
      </c>
      <c r="AG106" s="410">
        <f t="shared" si="109" ref="AG106">AG105</f>
        <v>0</v>
      </c>
      <c r="AH106" s="410">
        <f t="shared" si="110" ref="AH106">AH105</f>
        <v>0</v>
      </c>
      <c r="AI106" s="410">
        <f t="shared" si="111" ref="AI106">AI105</f>
        <v>0</v>
      </c>
      <c r="AJ106" s="410">
        <f t="shared" si="112" ref="AJ106">AJ105</f>
        <v>0</v>
      </c>
      <c r="AK106" s="410">
        <f t="shared" si="113" ref="AK106">AK105</f>
        <v>0</v>
      </c>
      <c r="AL106" s="410">
        <f t="shared" si="114" ref="AL106">AL105</f>
        <v>0</v>
      </c>
      <c r="AM106" s="306"/>
    </row>
    <row r="107" spans="2:39" ht="15.5" outlineLevel="1">
      <c r="B107" s="294"/>
      <c r="C107" s="291"/>
      <c r="D107" s="750"/>
      <c r="E107" s="750"/>
      <c r="F107" s="750"/>
      <c r="G107" s="750"/>
      <c r="H107" s="750"/>
      <c r="I107" s="750"/>
      <c r="J107" s="750"/>
      <c r="K107" s="750"/>
      <c r="L107" s="750"/>
      <c r="M107" s="750"/>
      <c r="N107" s="750"/>
      <c r="O107" s="750"/>
      <c r="P107" s="750"/>
      <c r="Q107" s="750"/>
      <c r="R107" s="750"/>
      <c r="S107" s="750"/>
      <c r="T107" s="750"/>
      <c r="U107" s="750"/>
      <c r="V107" s="750"/>
      <c r="W107" s="750"/>
      <c r="X107" s="750"/>
      <c r="Y107" s="771"/>
      <c r="Z107" s="780"/>
      <c r="AA107" s="780"/>
      <c r="AB107" s="780"/>
      <c r="AC107" s="780"/>
      <c r="AD107" s="780"/>
      <c r="AE107" s="780"/>
      <c r="AF107" s="780"/>
      <c r="AG107" s="422"/>
      <c r="AH107" s="422"/>
      <c r="AI107" s="422"/>
      <c r="AJ107" s="422"/>
      <c r="AK107" s="422"/>
      <c r="AL107" s="422"/>
      <c r="AM107" s="306"/>
    </row>
    <row r="108" spans="1:39" ht="31" outlineLevel="1">
      <c r="A108" s="516">
        <v>22</v>
      </c>
      <c r="B108" s="514" t="s">
        <v>114</v>
      </c>
      <c r="C108" s="291" t="s">
        <v>25</v>
      </c>
      <c r="D108" s="295"/>
      <c r="E108" s="295"/>
      <c r="F108" s="295"/>
      <c r="G108" s="295"/>
      <c r="H108" s="295"/>
      <c r="I108" s="295"/>
      <c r="J108" s="295"/>
      <c r="K108" s="295"/>
      <c r="L108" s="295"/>
      <c r="M108" s="295"/>
      <c r="N108" s="750"/>
      <c r="O108" s="295"/>
      <c r="P108" s="295"/>
      <c r="Q108" s="295"/>
      <c r="R108" s="295"/>
      <c r="S108" s="295"/>
      <c r="T108" s="295"/>
      <c r="U108" s="295"/>
      <c r="V108" s="295"/>
      <c r="W108" s="295"/>
      <c r="X108" s="295"/>
      <c r="Y108" s="779"/>
      <c r="Z108" s="759"/>
      <c r="AA108" s="759"/>
      <c r="AB108" s="759"/>
      <c r="AC108" s="759"/>
      <c r="AD108" s="759"/>
      <c r="AE108" s="759"/>
      <c r="AF108" s="759"/>
      <c r="AG108" s="409"/>
      <c r="AH108" s="409"/>
      <c r="AI108" s="409"/>
      <c r="AJ108" s="409"/>
      <c r="AK108" s="409"/>
      <c r="AL108" s="409"/>
      <c r="AM108" s="296">
        <f>SUM(Y108:AL108)</f>
        <v>0</v>
      </c>
    </row>
    <row r="109" spans="2:39" ht="15.5" outlineLevel="1">
      <c r="B109" s="294" t="s">
        <v>267</v>
      </c>
      <c r="C109" s="291" t="s">
        <v>163</v>
      </c>
      <c r="D109" s="295"/>
      <c r="E109" s="295"/>
      <c r="F109" s="295"/>
      <c r="G109" s="295"/>
      <c r="H109" s="295"/>
      <c r="I109" s="295"/>
      <c r="J109" s="295"/>
      <c r="K109" s="295"/>
      <c r="L109" s="295"/>
      <c r="M109" s="295"/>
      <c r="N109" s="750"/>
      <c r="O109" s="295"/>
      <c r="P109" s="295"/>
      <c r="Q109" s="295"/>
      <c r="R109" s="295"/>
      <c r="S109" s="295"/>
      <c r="T109" s="295"/>
      <c r="U109" s="295"/>
      <c r="V109" s="295"/>
      <c r="W109" s="295"/>
      <c r="X109" s="295"/>
      <c r="Y109" s="760">
        <f>Y108</f>
        <v>0</v>
      </c>
      <c r="Z109" s="760">
        <f t="shared" si="115" ref="Z109:AF109">Z108</f>
        <v>0</v>
      </c>
      <c r="AA109" s="760">
        <f t="shared" si="115"/>
        <v>0</v>
      </c>
      <c r="AB109" s="760">
        <f t="shared" si="115"/>
        <v>0</v>
      </c>
      <c r="AC109" s="760">
        <f t="shared" si="115"/>
        <v>0</v>
      </c>
      <c r="AD109" s="760">
        <f t="shared" si="115"/>
        <v>0</v>
      </c>
      <c r="AE109" s="760">
        <f t="shared" si="115"/>
        <v>0</v>
      </c>
      <c r="AF109" s="760">
        <f t="shared" si="115"/>
        <v>0</v>
      </c>
      <c r="AG109" s="410">
        <f t="shared" si="116" ref="AG109">AG108</f>
        <v>0</v>
      </c>
      <c r="AH109" s="410">
        <f t="shared" si="117" ref="AH109">AH108</f>
        <v>0</v>
      </c>
      <c r="AI109" s="410">
        <f t="shared" si="118" ref="AI109">AI108</f>
        <v>0</v>
      </c>
      <c r="AJ109" s="410">
        <f t="shared" si="119" ref="AJ109">AJ108</f>
        <v>0</v>
      </c>
      <c r="AK109" s="410">
        <f t="shared" si="120" ref="AK109">AK108</f>
        <v>0</v>
      </c>
      <c r="AL109" s="410">
        <f t="shared" si="121" ref="AL109">AL108</f>
        <v>0</v>
      </c>
      <c r="AM109" s="306"/>
    </row>
    <row r="110" spans="2:39" ht="15.5" outlineLevel="1">
      <c r="B110" s="294"/>
      <c r="C110" s="291"/>
      <c r="D110" s="750"/>
      <c r="E110" s="750"/>
      <c r="F110" s="750"/>
      <c r="G110" s="750"/>
      <c r="H110" s="750"/>
      <c r="I110" s="750"/>
      <c r="J110" s="750"/>
      <c r="K110" s="750"/>
      <c r="L110" s="750"/>
      <c r="M110" s="750"/>
      <c r="N110" s="750"/>
      <c r="O110" s="750"/>
      <c r="P110" s="750"/>
      <c r="Q110" s="750"/>
      <c r="R110" s="750"/>
      <c r="S110" s="750"/>
      <c r="T110" s="750"/>
      <c r="U110" s="750"/>
      <c r="V110" s="750"/>
      <c r="W110" s="750"/>
      <c r="X110" s="750"/>
      <c r="Y110" s="771"/>
      <c r="Z110" s="780"/>
      <c r="AA110" s="780"/>
      <c r="AB110" s="780"/>
      <c r="AC110" s="780"/>
      <c r="AD110" s="780"/>
      <c r="AE110" s="780"/>
      <c r="AF110" s="780"/>
      <c r="AG110" s="422"/>
      <c r="AH110" s="422"/>
      <c r="AI110" s="422"/>
      <c r="AJ110" s="422"/>
      <c r="AK110" s="422"/>
      <c r="AL110" s="422"/>
      <c r="AM110" s="306"/>
    </row>
    <row r="111" spans="1:39" ht="31" outlineLevel="1">
      <c r="A111" s="516">
        <v>23</v>
      </c>
      <c r="B111" s="514" t="s">
        <v>115</v>
      </c>
      <c r="C111" s="291" t="s">
        <v>25</v>
      </c>
      <c r="D111" s="295"/>
      <c r="E111" s="295"/>
      <c r="F111" s="295"/>
      <c r="G111" s="295"/>
      <c r="H111" s="295"/>
      <c r="I111" s="295"/>
      <c r="J111" s="295"/>
      <c r="K111" s="295"/>
      <c r="L111" s="295"/>
      <c r="M111" s="295"/>
      <c r="N111" s="750"/>
      <c r="O111" s="295"/>
      <c r="P111" s="295"/>
      <c r="Q111" s="295"/>
      <c r="R111" s="295"/>
      <c r="S111" s="295"/>
      <c r="T111" s="295"/>
      <c r="U111" s="295"/>
      <c r="V111" s="295"/>
      <c r="W111" s="295"/>
      <c r="X111" s="295"/>
      <c r="Y111" s="759"/>
      <c r="Z111" s="759"/>
      <c r="AA111" s="759"/>
      <c r="AB111" s="759"/>
      <c r="AC111" s="759"/>
      <c r="AD111" s="759"/>
      <c r="AE111" s="759"/>
      <c r="AF111" s="759"/>
      <c r="AG111" s="409"/>
      <c r="AH111" s="409"/>
      <c r="AI111" s="409"/>
      <c r="AJ111" s="409"/>
      <c r="AK111" s="409"/>
      <c r="AL111" s="409"/>
      <c r="AM111" s="296">
        <f>SUM(Y111:AL111)</f>
        <v>0</v>
      </c>
    </row>
    <row r="112" spans="2:39" ht="15.5" outlineLevel="1">
      <c r="B112" s="294" t="s">
        <v>267</v>
      </c>
      <c r="C112" s="291" t="s">
        <v>163</v>
      </c>
      <c r="D112" s="295"/>
      <c r="E112" s="295"/>
      <c r="F112" s="295"/>
      <c r="G112" s="295"/>
      <c r="H112" s="295"/>
      <c r="I112" s="295"/>
      <c r="J112" s="295"/>
      <c r="K112" s="295"/>
      <c r="L112" s="295"/>
      <c r="M112" s="295"/>
      <c r="N112" s="750"/>
      <c r="O112" s="295"/>
      <c r="P112" s="295"/>
      <c r="Q112" s="295"/>
      <c r="R112" s="295"/>
      <c r="S112" s="295"/>
      <c r="T112" s="295"/>
      <c r="U112" s="295"/>
      <c r="V112" s="295"/>
      <c r="W112" s="295"/>
      <c r="X112" s="295"/>
      <c r="Y112" s="760">
        <f>Y111</f>
        <v>0</v>
      </c>
      <c r="Z112" s="760">
        <f t="shared" si="122" ref="Z112:AF112">Z111</f>
        <v>0</v>
      </c>
      <c r="AA112" s="760">
        <f t="shared" si="122"/>
        <v>0</v>
      </c>
      <c r="AB112" s="760">
        <f t="shared" si="122"/>
        <v>0</v>
      </c>
      <c r="AC112" s="760">
        <f t="shared" si="122"/>
        <v>0</v>
      </c>
      <c r="AD112" s="760">
        <f t="shared" si="122"/>
        <v>0</v>
      </c>
      <c r="AE112" s="760">
        <f t="shared" si="122"/>
        <v>0</v>
      </c>
      <c r="AF112" s="760">
        <f t="shared" si="122"/>
        <v>0</v>
      </c>
      <c r="AG112" s="410">
        <f t="shared" si="123" ref="AG112">AG111</f>
        <v>0</v>
      </c>
      <c r="AH112" s="410">
        <f t="shared" si="124" ref="AH112">AH111</f>
        <v>0</v>
      </c>
      <c r="AI112" s="410">
        <f t="shared" si="125" ref="AI112">AI111</f>
        <v>0</v>
      </c>
      <c r="AJ112" s="410">
        <f t="shared" si="126" ref="AJ112">AJ111</f>
        <v>0</v>
      </c>
      <c r="AK112" s="410">
        <f t="shared" si="127" ref="AK112">AK111</f>
        <v>0</v>
      </c>
      <c r="AL112" s="410">
        <f t="shared" si="128" ref="AL112">AL111</f>
        <v>0</v>
      </c>
      <c r="AM112" s="306"/>
    </row>
    <row r="113" spans="2:39" ht="15.5" outlineLevel="1">
      <c r="B113" s="321"/>
      <c r="C113" s="291"/>
      <c r="D113" s="750"/>
      <c r="E113" s="750"/>
      <c r="F113" s="750"/>
      <c r="G113" s="750"/>
      <c r="H113" s="750"/>
      <c r="I113" s="750"/>
      <c r="J113" s="750"/>
      <c r="K113" s="750"/>
      <c r="L113" s="750"/>
      <c r="M113" s="750"/>
      <c r="N113" s="750"/>
      <c r="O113" s="750"/>
      <c r="P113" s="750"/>
      <c r="Q113" s="750"/>
      <c r="R113" s="750"/>
      <c r="S113" s="750"/>
      <c r="T113" s="750"/>
      <c r="U113" s="750"/>
      <c r="V113" s="750"/>
      <c r="W113" s="750"/>
      <c r="X113" s="750"/>
      <c r="Y113" s="771"/>
      <c r="Z113" s="780"/>
      <c r="AA113" s="780"/>
      <c r="AB113" s="780"/>
      <c r="AC113" s="780"/>
      <c r="AD113" s="780"/>
      <c r="AE113" s="780"/>
      <c r="AF113" s="780"/>
      <c r="AG113" s="422"/>
      <c r="AH113" s="422"/>
      <c r="AI113" s="422"/>
      <c r="AJ113" s="422"/>
      <c r="AK113" s="422"/>
      <c r="AL113" s="422"/>
      <c r="AM113" s="306"/>
    </row>
    <row r="114" spans="1:39" ht="15.5" outlineLevel="1">
      <c r="A114" s="516">
        <v>24</v>
      </c>
      <c r="B114" s="514" t="s">
        <v>116</v>
      </c>
      <c r="C114" s="291" t="s">
        <v>25</v>
      </c>
      <c r="D114" s="295"/>
      <c r="E114" s="295"/>
      <c r="F114" s="295"/>
      <c r="G114" s="295"/>
      <c r="H114" s="295"/>
      <c r="I114" s="295"/>
      <c r="J114" s="295"/>
      <c r="K114" s="295"/>
      <c r="L114" s="295"/>
      <c r="M114" s="295"/>
      <c r="N114" s="750"/>
      <c r="O114" s="295"/>
      <c r="P114" s="295"/>
      <c r="Q114" s="295"/>
      <c r="R114" s="295"/>
      <c r="S114" s="295"/>
      <c r="T114" s="295"/>
      <c r="U114" s="295"/>
      <c r="V114" s="295"/>
      <c r="W114" s="295"/>
      <c r="X114" s="295"/>
      <c r="Y114" s="759"/>
      <c r="Z114" s="759"/>
      <c r="AA114" s="759"/>
      <c r="AB114" s="759"/>
      <c r="AC114" s="759"/>
      <c r="AD114" s="759"/>
      <c r="AE114" s="759"/>
      <c r="AF114" s="759"/>
      <c r="AG114" s="409"/>
      <c r="AH114" s="409"/>
      <c r="AI114" s="409"/>
      <c r="AJ114" s="409"/>
      <c r="AK114" s="409"/>
      <c r="AL114" s="409"/>
      <c r="AM114" s="296">
        <f>SUM(Y114:AL114)</f>
        <v>0</v>
      </c>
    </row>
    <row r="115" spans="2:39" ht="15.5" outlineLevel="1">
      <c r="B115" s="294" t="s">
        <v>267</v>
      </c>
      <c r="C115" s="291" t="s">
        <v>163</v>
      </c>
      <c r="D115" s="295"/>
      <c r="E115" s="295"/>
      <c r="F115" s="295"/>
      <c r="G115" s="295"/>
      <c r="H115" s="295"/>
      <c r="I115" s="295"/>
      <c r="J115" s="295"/>
      <c r="K115" s="295"/>
      <c r="L115" s="295"/>
      <c r="M115" s="295"/>
      <c r="N115" s="750"/>
      <c r="O115" s="295"/>
      <c r="P115" s="295"/>
      <c r="Q115" s="295"/>
      <c r="R115" s="295"/>
      <c r="S115" s="295"/>
      <c r="T115" s="295"/>
      <c r="U115" s="295"/>
      <c r="V115" s="295"/>
      <c r="W115" s="295"/>
      <c r="X115" s="295"/>
      <c r="Y115" s="760">
        <f>Y114</f>
        <v>0</v>
      </c>
      <c r="Z115" s="760">
        <f t="shared" si="129" ref="Z115:AF115">Z114</f>
        <v>0</v>
      </c>
      <c r="AA115" s="760">
        <f t="shared" si="129"/>
        <v>0</v>
      </c>
      <c r="AB115" s="760">
        <f t="shared" si="129"/>
        <v>0</v>
      </c>
      <c r="AC115" s="760">
        <f t="shared" si="129"/>
        <v>0</v>
      </c>
      <c r="AD115" s="760">
        <f t="shared" si="129"/>
        <v>0</v>
      </c>
      <c r="AE115" s="760">
        <f t="shared" si="129"/>
        <v>0</v>
      </c>
      <c r="AF115" s="760">
        <f t="shared" si="129"/>
        <v>0</v>
      </c>
      <c r="AG115" s="410">
        <f t="shared" si="130" ref="AG115">AG114</f>
        <v>0</v>
      </c>
      <c r="AH115" s="410">
        <f t="shared" si="131" ref="AH115">AH114</f>
        <v>0</v>
      </c>
      <c r="AI115" s="410">
        <f t="shared" si="132" ref="AI115">AI114</f>
        <v>0</v>
      </c>
      <c r="AJ115" s="410">
        <f t="shared" si="133" ref="AJ115">AJ114</f>
        <v>0</v>
      </c>
      <c r="AK115" s="410">
        <f t="shared" si="134" ref="AK115">AK114</f>
        <v>0</v>
      </c>
      <c r="AL115" s="410">
        <f t="shared" si="135" ref="AL115">AL114</f>
        <v>0</v>
      </c>
      <c r="AM115" s="306"/>
    </row>
    <row r="116" spans="2:39" ht="15.5" outlineLevel="1">
      <c r="B116" s="294"/>
      <c r="C116" s="291"/>
      <c r="D116" s="750"/>
      <c r="E116" s="750"/>
      <c r="F116" s="750"/>
      <c r="G116" s="750"/>
      <c r="H116" s="750"/>
      <c r="I116" s="750"/>
      <c r="J116" s="750"/>
      <c r="K116" s="750"/>
      <c r="L116" s="750"/>
      <c r="M116" s="750"/>
      <c r="N116" s="750"/>
      <c r="O116" s="750"/>
      <c r="P116" s="750"/>
      <c r="Q116" s="750"/>
      <c r="R116" s="750"/>
      <c r="S116" s="750"/>
      <c r="T116" s="750"/>
      <c r="U116" s="750"/>
      <c r="V116" s="750"/>
      <c r="W116" s="750"/>
      <c r="X116" s="750"/>
      <c r="Y116" s="761"/>
      <c r="Z116" s="780"/>
      <c r="AA116" s="780"/>
      <c r="AB116" s="780"/>
      <c r="AC116" s="780"/>
      <c r="AD116" s="780"/>
      <c r="AE116" s="780"/>
      <c r="AF116" s="780"/>
      <c r="AG116" s="422"/>
      <c r="AH116" s="422"/>
      <c r="AI116" s="422"/>
      <c r="AJ116" s="422"/>
      <c r="AK116" s="422"/>
      <c r="AL116" s="422"/>
      <c r="AM116" s="306"/>
    </row>
    <row r="117" spans="2:39" ht="15.5" outlineLevel="1">
      <c r="B117" s="288" t="s">
        <v>499</v>
      </c>
      <c r="C117" s="291"/>
      <c r="D117" s="750"/>
      <c r="E117" s="750"/>
      <c r="F117" s="750"/>
      <c r="G117" s="750"/>
      <c r="H117" s="750"/>
      <c r="I117" s="750"/>
      <c r="J117" s="750"/>
      <c r="K117" s="750"/>
      <c r="L117" s="750"/>
      <c r="M117" s="750"/>
      <c r="N117" s="750"/>
      <c r="O117" s="750"/>
      <c r="P117" s="750"/>
      <c r="Q117" s="750"/>
      <c r="R117" s="750"/>
      <c r="S117" s="750"/>
      <c r="T117" s="750"/>
      <c r="U117" s="750"/>
      <c r="V117" s="750"/>
      <c r="W117" s="750"/>
      <c r="X117" s="750"/>
      <c r="Y117" s="761"/>
      <c r="Z117" s="780"/>
      <c r="AA117" s="780"/>
      <c r="AB117" s="780"/>
      <c r="AC117" s="780"/>
      <c r="AD117" s="780"/>
      <c r="AE117" s="780"/>
      <c r="AF117" s="780"/>
      <c r="AG117" s="422"/>
      <c r="AH117" s="422"/>
      <c r="AI117" s="422"/>
      <c r="AJ117" s="422"/>
      <c r="AK117" s="422"/>
      <c r="AL117" s="422"/>
      <c r="AM117" s="306"/>
    </row>
    <row r="118" spans="1:39" ht="15.5" outlineLevel="1">
      <c r="A118" s="516">
        <v>25</v>
      </c>
      <c r="B118" s="514"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76"/>
      <c r="Z118" s="759"/>
      <c r="AA118" s="759"/>
      <c r="AB118" s="759"/>
      <c r="AC118" s="759"/>
      <c r="AD118" s="759"/>
      <c r="AE118" s="759"/>
      <c r="AF118" s="764"/>
      <c r="AG118" s="414"/>
      <c r="AH118" s="414"/>
      <c r="AI118" s="414"/>
      <c r="AJ118" s="414"/>
      <c r="AK118" s="414"/>
      <c r="AL118" s="414"/>
      <c r="AM118" s="296">
        <f>SUM(Y118:AL118)</f>
        <v>0</v>
      </c>
    </row>
    <row r="119" spans="2: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760">
        <f>Y118</f>
        <v>0</v>
      </c>
      <c r="Z119" s="760">
        <f t="shared" si="136" ref="Z119:AF119">Z118</f>
        <v>0</v>
      </c>
      <c r="AA119" s="760">
        <f t="shared" si="136"/>
        <v>0</v>
      </c>
      <c r="AB119" s="760">
        <f t="shared" si="136"/>
        <v>0</v>
      </c>
      <c r="AC119" s="760">
        <f t="shared" si="136"/>
        <v>0</v>
      </c>
      <c r="AD119" s="760">
        <f t="shared" si="136"/>
        <v>0</v>
      </c>
      <c r="AE119" s="760">
        <f t="shared" si="136"/>
        <v>0</v>
      </c>
      <c r="AF119" s="760">
        <f t="shared" si="136"/>
        <v>0</v>
      </c>
      <c r="AG119" s="410">
        <f t="shared" si="137" ref="AG119">AG118</f>
        <v>0</v>
      </c>
      <c r="AH119" s="410">
        <f t="shared" si="138" ref="AH119">AH118</f>
        <v>0</v>
      </c>
      <c r="AI119" s="410">
        <f t="shared" si="139" ref="AI119">AI118</f>
        <v>0</v>
      </c>
      <c r="AJ119" s="410">
        <f t="shared" si="140" ref="AJ119">AJ118</f>
        <v>0</v>
      </c>
      <c r="AK119" s="410">
        <f t="shared" si="141" ref="AK119">AK118</f>
        <v>0</v>
      </c>
      <c r="AL119" s="410">
        <f t="shared" si="142" ref="AL119">AL118</f>
        <v>0</v>
      </c>
      <c r="AM119" s="306"/>
    </row>
    <row r="120" spans="2:39" ht="15.5" outlineLevel="1">
      <c r="B120" s="294"/>
      <c r="C120" s="291"/>
      <c r="D120" s="750"/>
      <c r="E120" s="750"/>
      <c r="F120" s="750"/>
      <c r="G120" s="750"/>
      <c r="H120" s="750"/>
      <c r="I120" s="750"/>
      <c r="J120" s="750"/>
      <c r="K120" s="750"/>
      <c r="L120" s="750"/>
      <c r="M120" s="750"/>
      <c r="N120" s="750"/>
      <c r="O120" s="750"/>
      <c r="P120" s="750"/>
      <c r="Q120" s="750"/>
      <c r="R120" s="750"/>
      <c r="S120" s="750"/>
      <c r="T120" s="750"/>
      <c r="U120" s="750"/>
      <c r="V120" s="750"/>
      <c r="W120" s="750"/>
      <c r="X120" s="750"/>
      <c r="Y120" s="761"/>
      <c r="Z120" s="780"/>
      <c r="AA120" s="780"/>
      <c r="AB120" s="780"/>
      <c r="AC120" s="780"/>
      <c r="AD120" s="780"/>
      <c r="AE120" s="780"/>
      <c r="AF120" s="780"/>
      <c r="AG120" s="422"/>
      <c r="AH120" s="422"/>
      <c r="AI120" s="422"/>
      <c r="AJ120" s="422"/>
      <c r="AK120" s="422"/>
      <c r="AL120" s="422"/>
      <c r="AM120" s="306"/>
    </row>
    <row r="121" spans="1:39" ht="15.5" outlineLevel="1">
      <c r="A121" s="516">
        <v>26</v>
      </c>
      <c r="B121" s="514"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776"/>
      <c r="Z121" s="779">
        <v>0.1275</v>
      </c>
      <c r="AA121" s="779">
        <v>0.2319</v>
      </c>
      <c r="AB121" s="759">
        <v>0.64059999999999995</v>
      </c>
      <c r="AC121" s="779"/>
      <c r="AD121" s="759"/>
      <c r="AE121" s="759"/>
      <c r="AF121" s="764"/>
      <c r="AG121" s="414"/>
      <c r="AH121" s="414"/>
      <c r="AI121" s="414"/>
      <c r="AJ121" s="414"/>
      <c r="AK121" s="414"/>
      <c r="AL121" s="414"/>
      <c r="AM121" s="296">
        <f>SUM(Y121:AL121)</f>
        <v>1</v>
      </c>
    </row>
    <row r="122" spans="2:39" ht="15.5" outlineLevel="1">
      <c r="B122" s="294" t="s">
        <v>267</v>
      </c>
      <c r="C122" s="291" t="s">
        <v>163</v>
      </c>
      <c r="D122" s="295">
        <f>'7.  Persistence Report'!AU110</f>
        <v>4307</v>
      </c>
      <c r="E122" s="295">
        <f>'7.  Persistence Report'!AV110</f>
        <v>4307</v>
      </c>
      <c r="F122" s="295">
        <f>'7.  Persistence Report'!AW110</f>
        <v>4307</v>
      </c>
      <c r="G122" s="295">
        <f>'7.  Persistence Report'!AX110</f>
        <v>4307</v>
      </c>
      <c r="H122" s="295">
        <f>'7.  Persistence Report'!AY110</f>
        <v>4307</v>
      </c>
      <c r="I122" s="295">
        <f>'7.  Persistence Report'!AZ110</f>
        <v>4307</v>
      </c>
      <c r="J122" s="295">
        <f>'7.  Persistence Report'!BA110</f>
        <v>4307</v>
      </c>
      <c r="K122" s="295">
        <f>'7.  Persistence Report'!BB110</f>
        <v>4307</v>
      </c>
      <c r="L122" s="295">
        <f>'7.  Persistence Report'!BC110</f>
        <v>4307</v>
      </c>
      <c r="M122" s="295">
        <f>'7.  Persistence Report'!BD110</f>
        <v>4307</v>
      </c>
      <c r="N122" s="295">
        <f>N121</f>
        <v>12</v>
      </c>
      <c r="O122" s="295">
        <f>'7.  Persistence Report'!P110</f>
        <v>0</v>
      </c>
      <c r="P122" s="295">
        <f>'7.  Persistence Report'!Q110</f>
        <v>0</v>
      </c>
      <c r="Q122" s="295">
        <f>'7.  Persistence Report'!R110</f>
        <v>0</v>
      </c>
      <c r="R122" s="295">
        <f>'7.  Persistence Report'!S110</f>
        <v>0</v>
      </c>
      <c r="S122" s="295">
        <f>'7.  Persistence Report'!T110</f>
        <v>0</v>
      </c>
      <c r="T122" s="295">
        <f>'7.  Persistence Report'!U110</f>
        <v>0</v>
      </c>
      <c r="U122" s="295">
        <f>'7.  Persistence Report'!V110</f>
        <v>0</v>
      </c>
      <c r="V122" s="295">
        <f>'7.  Persistence Report'!W110</f>
        <v>0</v>
      </c>
      <c r="W122" s="295">
        <f>'7.  Persistence Report'!X110</f>
        <v>0</v>
      </c>
      <c r="X122" s="295">
        <f>'7.  Persistence Report'!Y110</f>
        <v>0</v>
      </c>
      <c r="Y122" s="760">
        <f>Y121</f>
        <v>0</v>
      </c>
      <c r="Z122" s="760">
        <f t="shared" si="143" ref="Z122:AF122">Z121</f>
        <v>0.1275</v>
      </c>
      <c r="AA122" s="760">
        <f t="shared" si="143"/>
        <v>0.2319</v>
      </c>
      <c r="AB122" s="760">
        <f t="shared" si="143"/>
        <v>0.64059999999999995</v>
      </c>
      <c r="AC122" s="760">
        <f t="shared" si="143"/>
        <v>0</v>
      </c>
      <c r="AD122" s="760">
        <f t="shared" si="143"/>
        <v>0</v>
      </c>
      <c r="AE122" s="760">
        <f t="shared" si="143"/>
        <v>0</v>
      </c>
      <c r="AF122" s="760">
        <f t="shared" si="143"/>
        <v>0</v>
      </c>
      <c r="AG122" s="410">
        <f t="shared" si="144" ref="AG122">AG121</f>
        <v>0</v>
      </c>
      <c r="AH122" s="410">
        <f t="shared" si="145" ref="AH122">AH121</f>
        <v>0</v>
      </c>
      <c r="AI122" s="410">
        <f t="shared" si="146" ref="AI122">AI121</f>
        <v>0</v>
      </c>
      <c r="AJ122" s="410">
        <f t="shared" si="147" ref="AJ122">AJ121</f>
        <v>0</v>
      </c>
      <c r="AK122" s="410">
        <f t="shared" si="148" ref="AK122">AK121</f>
        <v>0</v>
      </c>
      <c r="AL122" s="410">
        <f t="shared" si="149" ref="AL122">AL121</f>
        <v>0</v>
      </c>
      <c r="AM122" s="306"/>
    </row>
    <row r="123" spans="2:39" ht="15.5" outlineLevel="1">
      <c r="B123" s="294"/>
      <c r="C123" s="291"/>
      <c r="D123" s="750"/>
      <c r="E123" s="750"/>
      <c r="F123" s="750"/>
      <c r="G123" s="750"/>
      <c r="H123" s="750"/>
      <c r="I123" s="750"/>
      <c r="J123" s="750"/>
      <c r="K123" s="750"/>
      <c r="L123" s="750"/>
      <c r="M123" s="750"/>
      <c r="N123" s="750"/>
      <c r="O123" s="750"/>
      <c r="P123" s="750"/>
      <c r="Q123" s="750"/>
      <c r="R123" s="750"/>
      <c r="S123" s="750"/>
      <c r="T123" s="750"/>
      <c r="U123" s="750"/>
      <c r="V123" s="750"/>
      <c r="W123" s="750"/>
      <c r="X123" s="750"/>
      <c r="Y123" s="761"/>
      <c r="Z123" s="780"/>
      <c r="AA123" s="780"/>
      <c r="AB123" s="780"/>
      <c r="AC123" s="780"/>
      <c r="AD123" s="780"/>
      <c r="AE123" s="780"/>
      <c r="AF123" s="780"/>
      <c r="AG123" s="422"/>
      <c r="AH123" s="422"/>
      <c r="AI123" s="422"/>
      <c r="AJ123" s="422"/>
      <c r="AK123" s="422"/>
      <c r="AL123" s="422"/>
      <c r="AM123" s="306"/>
    </row>
    <row r="124" spans="1:39" ht="31" outlineLevel="1">
      <c r="A124" s="516">
        <v>27</v>
      </c>
      <c r="B124" s="514"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76"/>
      <c r="Z124" s="759"/>
      <c r="AA124" s="759"/>
      <c r="AB124" s="759"/>
      <c r="AC124" s="759"/>
      <c r="AD124" s="759"/>
      <c r="AE124" s="759"/>
      <c r="AF124" s="764"/>
      <c r="AG124" s="414"/>
      <c r="AH124" s="414"/>
      <c r="AI124" s="414"/>
      <c r="AJ124" s="414"/>
      <c r="AK124" s="414"/>
      <c r="AL124" s="414"/>
      <c r="AM124" s="296">
        <f>SUM(Y124:AL124)</f>
        <v>0</v>
      </c>
    </row>
    <row r="125" spans="2: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60">
        <f>Y124</f>
        <v>0</v>
      </c>
      <c r="Z125" s="760">
        <f t="shared" si="150" ref="Z125:AF125">Z124</f>
        <v>0</v>
      </c>
      <c r="AA125" s="760">
        <f t="shared" si="150"/>
        <v>0</v>
      </c>
      <c r="AB125" s="760">
        <f t="shared" si="150"/>
        <v>0</v>
      </c>
      <c r="AC125" s="760">
        <f t="shared" si="150"/>
        <v>0</v>
      </c>
      <c r="AD125" s="760">
        <f t="shared" si="150"/>
        <v>0</v>
      </c>
      <c r="AE125" s="760">
        <f t="shared" si="150"/>
        <v>0</v>
      </c>
      <c r="AF125" s="760">
        <f t="shared" si="150"/>
        <v>0</v>
      </c>
      <c r="AG125" s="410">
        <f t="shared" si="151" ref="AG125">AG124</f>
        <v>0</v>
      </c>
      <c r="AH125" s="410">
        <f t="shared" si="152" ref="AH125">AH124</f>
        <v>0</v>
      </c>
      <c r="AI125" s="410">
        <f t="shared" si="153" ref="AI125">AI124</f>
        <v>0</v>
      </c>
      <c r="AJ125" s="410">
        <f t="shared" si="154" ref="AJ125">AJ124</f>
        <v>0</v>
      </c>
      <c r="AK125" s="410">
        <f t="shared" si="155" ref="AK125">AK124</f>
        <v>0</v>
      </c>
      <c r="AL125" s="410">
        <f t="shared" si="156" ref="AL125">AL124</f>
        <v>0</v>
      </c>
      <c r="AM125" s="306"/>
    </row>
    <row r="126" spans="2:39" ht="15.5" outlineLevel="1">
      <c r="B126" s="294"/>
      <c r="C126" s="291"/>
      <c r="D126" s="750"/>
      <c r="E126" s="750"/>
      <c r="F126" s="750"/>
      <c r="G126" s="750"/>
      <c r="H126" s="750"/>
      <c r="I126" s="750"/>
      <c r="J126" s="750"/>
      <c r="K126" s="750"/>
      <c r="L126" s="750"/>
      <c r="M126" s="750"/>
      <c r="N126" s="750"/>
      <c r="O126" s="750"/>
      <c r="P126" s="750"/>
      <c r="Q126" s="750"/>
      <c r="R126" s="750"/>
      <c r="S126" s="750"/>
      <c r="T126" s="750"/>
      <c r="U126" s="750"/>
      <c r="V126" s="750"/>
      <c r="W126" s="750"/>
      <c r="X126" s="750"/>
      <c r="Y126" s="761"/>
      <c r="Z126" s="780"/>
      <c r="AA126" s="780"/>
      <c r="AB126" s="780"/>
      <c r="AC126" s="780"/>
      <c r="AD126" s="780"/>
      <c r="AE126" s="780"/>
      <c r="AF126" s="780"/>
      <c r="AG126" s="422"/>
      <c r="AH126" s="422"/>
      <c r="AI126" s="422"/>
      <c r="AJ126" s="422"/>
      <c r="AK126" s="422"/>
      <c r="AL126" s="422"/>
      <c r="AM126" s="306"/>
    </row>
    <row r="127" spans="1:39" ht="31" outlineLevel="1">
      <c r="A127" s="516">
        <v>28</v>
      </c>
      <c r="B127" s="514"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76"/>
      <c r="Z127" s="759"/>
      <c r="AA127" s="759"/>
      <c r="AB127" s="759"/>
      <c r="AC127" s="759"/>
      <c r="AD127" s="759"/>
      <c r="AE127" s="759"/>
      <c r="AF127" s="764"/>
      <c r="AG127" s="414"/>
      <c r="AH127" s="414"/>
      <c r="AI127" s="414"/>
      <c r="AJ127" s="414"/>
      <c r="AK127" s="414"/>
      <c r="AL127" s="414"/>
      <c r="AM127" s="296">
        <f>SUM(Y127:AL127)</f>
        <v>0</v>
      </c>
    </row>
    <row r="128" spans="2: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760">
        <f>Y127</f>
        <v>0</v>
      </c>
      <c r="Z128" s="760">
        <f t="shared" si="157" ref="Z128:AF128">Z127</f>
        <v>0</v>
      </c>
      <c r="AA128" s="760">
        <f t="shared" si="157"/>
        <v>0</v>
      </c>
      <c r="AB128" s="760">
        <f t="shared" si="157"/>
        <v>0</v>
      </c>
      <c r="AC128" s="760">
        <f t="shared" si="157"/>
        <v>0</v>
      </c>
      <c r="AD128" s="760">
        <f t="shared" si="157"/>
        <v>0</v>
      </c>
      <c r="AE128" s="760">
        <f t="shared" si="157"/>
        <v>0</v>
      </c>
      <c r="AF128" s="760">
        <f t="shared" si="157"/>
        <v>0</v>
      </c>
      <c r="AG128" s="410">
        <f t="shared" si="158" ref="AG128">AG127</f>
        <v>0</v>
      </c>
      <c r="AH128" s="410">
        <f t="shared" si="159" ref="AH128">AH127</f>
        <v>0</v>
      </c>
      <c r="AI128" s="410">
        <f t="shared" si="160" ref="AI128">AI127</f>
        <v>0</v>
      </c>
      <c r="AJ128" s="410">
        <f t="shared" si="161" ref="AJ128">AJ127</f>
        <v>0</v>
      </c>
      <c r="AK128" s="410">
        <f t="shared" si="162" ref="AK128">AK127</f>
        <v>0</v>
      </c>
      <c r="AL128" s="410">
        <f t="shared" si="163" ref="AL128">AL127</f>
        <v>0</v>
      </c>
      <c r="AM128" s="306"/>
    </row>
    <row r="129" spans="2:39" ht="15.5" outlineLevel="1">
      <c r="B129" s="294"/>
      <c r="C129" s="291"/>
      <c r="D129" s="750"/>
      <c r="E129" s="750"/>
      <c r="F129" s="750"/>
      <c r="G129" s="750"/>
      <c r="H129" s="750"/>
      <c r="I129" s="750"/>
      <c r="J129" s="750"/>
      <c r="K129" s="750"/>
      <c r="L129" s="750"/>
      <c r="M129" s="750"/>
      <c r="N129" s="750"/>
      <c r="O129" s="750"/>
      <c r="P129" s="750"/>
      <c r="Q129" s="750"/>
      <c r="R129" s="750"/>
      <c r="S129" s="750"/>
      <c r="T129" s="750"/>
      <c r="U129" s="750"/>
      <c r="V129" s="750"/>
      <c r="W129" s="750"/>
      <c r="X129" s="750"/>
      <c r="Y129" s="761"/>
      <c r="Z129" s="780"/>
      <c r="AA129" s="780"/>
      <c r="AB129" s="780"/>
      <c r="AC129" s="780"/>
      <c r="AD129" s="780"/>
      <c r="AE129" s="780"/>
      <c r="AF129" s="780"/>
      <c r="AG129" s="422"/>
      <c r="AH129" s="422"/>
      <c r="AI129" s="422"/>
      <c r="AJ129" s="422"/>
      <c r="AK129" s="422"/>
      <c r="AL129" s="422"/>
      <c r="AM129" s="306"/>
    </row>
    <row r="130" spans="1:39" ht="31" outlineLevel="1">
      <c r="A130" s="516">
        <v>29</v>
      </c>
      <c r="B130" s="514"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76"/>
      <c r="Z130" s="759"/>
      <c r="AA130" s="759"/>
      <c r="AB130" s="759"/>
      <c r="AC130" s="759"/>
      <c r="AD130" s="759"/>
      <c r="AE130" s="759"/>
      <c r="AF130" s="764"/>
      <c r="AG130" s="414"/>
      <c r="AH130" s="414"/>
      <c r="AI130" s="414"/>
      <c r="AJ130" s="414"/>
      <c r="AK130" s="414"/>
      <c r="AL130" s="414"/>
      <c r="AM130" s="296">
        <f>SUM(Y130:AL130)</f>
        <v>0</v>
      </c>
    </row>
    <row r="131" spans="2: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760">
        <f>Y130</f>
        <v>0</v>
      </c>
      <c r="Z131" s="760">
        <f t="shared" si="164" ref="Z131:AF131">Z130</f>
        <v>0</v>
      </c>
      <c r="AA131" s="760">
        <f t="shared" si="164"/>
        <v>0</v>
      </c>
      <c r="AB131" s="760">
        <f t="shared" si="164"/>
        <v>0</v>
      </c>
      <c r="AC131" s="760">
        <f t="shared" si="164"/>
        <v>0</v>
      </c>
      <c r="AD131" s="760">
        <f t="shared" si="164"/>
        <v>0</v>
      </c>
      <c r="AE131" s="760">
        <f t="shared" si="164"/>
        <v>0</v>
      </c>
      <c r="AF131" s="760">
        <f t="shared" si="164"/>
        <v>0</v>
      </c>
      <c r="AG131" s="410">
        <f t="shared" si="165" ref="AG131">AG130</f>
        <v>0</v>
      </c>
      <c r="AH131" s="410">
        <f t="shared" si="166" ref="AH131">AH130</f>
        <v>0</v>
      </c>
      <c r="AI131" s="410">
        <f t="shared" si="167" ref="AI131">AI130</f>
        <v>0</v>
      </c>
      <c r="AJ131" s="410">
        <f t="shared" si="168" ref="AJ131">AJ130</f>
        <v>0</v>
      </c>
      <c r="AK131" s="410">
        <f t="shared" si="169" ref="AK131">AK130</f>
        <v>0</v>
      </c>
      <c r="AL131" s="410">
        <f t="shared" si="170" ref="AL131">AL130</f>
        <v>0</v>
      </c>
      <c r="AM131" s="306"/>
    </row>
    <row r="132" spans="2:39" ht="15.5" outlineLevel="1">
      <c r="B132" s="294"/>
      <c r="C132" s="291"/>
      <c r="D132" s="750"/>
      <c r="E132" s="750"/>
      <c r="F132" s="750"/>
      <c r="G132" s="750"/>
      <c r="H132" s="750"/>
      <c r="I132" s="750"/>
      <c r="J132" s="750"/>
      <c r="K132" s="750"/>
      <c r="L132" s="750"/>
      <c r="M132" s="750"/>
      <c r="N132" s="750"/>
      <c r="O132" s="750"/>
      <c r="P132" s="750"/>
      <c r="Q132" s="750"/>
      <c r="R132" s="750"/>
      <c r="S132" s="750"/>
      <c r="T132" s="750"/>
      <c r="U132" s="750"/>
      <c r="V132" s="750"/>
      <c r="W132" s="750"/>
      <c r="X132" s="750"/>
      <c r="Y132" s="761"/>
      <c r="Z132" s="780"/>
      <c r="AA132" s="780"/>
      <c r="AB132" s="780"/>
      <c r="AC132" s="780"/>
      <c r="AD132" s="780"/>
      <c r="AE132" s="780"/>
      <c r="AF132" s="780"/>
      <c r="AG132" s="422"/>
      <c r="AH132" s="422"/>
      <c r="AI132" s="422"/>
      <c r="AJ132" s="422"/>
      <c r="AK132" s="422"/>
      <c r="AL132" s="422"/>
      <c r="AM132" s="306"/>
    </row>
    <row r="133" spans="1:39" ht="31" outlineLevel="1">
      <c r="A133" s="516">
        <v>30</v>
      </c>
      <c r="B133" s="514"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76"/>
      <c r="Z133" s="759"/>
      <c r="AA133" s="759"/>
      <c r="AB133" s="759"/>
      <c r="AC133" s="759"/>
      <c r="AD133" s="759"/>
      <c r="AE133" s="759"/>
      <c r="AF133" s="764"/>
      <c r="AG133" s="414"/>
      <c r="AH133" s="414"/>
      <c r="AI133" s="414"/>
      <c r="AJ133" s="414"/>
      <c r="AK133" s="414"/>
      <c r="AL133" s="414"/>
      <c r="AM133" s="296">
        <f>SUM(Y133:AL133)</f>
        <v>0</v>
      </c>
    </row>
    <row r="134" spans="2: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760">
        <f>Y133</f>
        <v>0</v>
      </c>
      <c r="Z134" s="760">
        <f t="shared" si="171" ref="Z134:AF134">Z133</f>
        <v>0</v>
      </c>
      <c r="AA134" s="760">
        <f t="shared" si="171"/>
        <v>0</v>
      </c>
      <c r="AB134" s="760">
        <f t="shared" si="171"/>
        <v>0</v>
      </c>
      <c r="AC134" s="760">
        <f t="shared" si="171"/>
        <v>0</v>
      </c>
      <c r="AD134" s="760">
        <f t="shared" si="171"/>
        <v>0</v>
      </c>
      <c r="AE134" s="760">
        <f t="shared" si="171"/>
        <v>0</v>
      </c>
      <c r="AF134" s="760">
        <f t="shared" si="171"/>
        <v>0</v>
      </c>
      <c r="AG134" s="410">
        <f t="shared" si="172" ref="AG134">AG133</f>
        <v>0</v>
      </c>
      <c r="AH134" s="410">
        <f t="shared" si="173" ref="AH134">AH133</f>
        <v>0</v>
      </c>
      <c r="AI134" s="410">
        <f t="shared" si="174" ref="AI134">AI133</f>
        <v>0</v>
      </c>
      <c r="AJ134" s="410">
        <f t="shared" si="175" ref="AJ134">AJ133</f>
        <v>0</v>
      </c>
      <c r="AK134" s="410">
        <f t="shared" si="176" ref="AK134">AK133</f>
        <v>0</v>
      </c>
      <c r="AL134" s="410">
        <f t="shared" si="177" ref="AL134">AL133</f>
        <v>0</v>
      </c>
      <c r="AM134" s="306"/>
    </row>
    <row r="135" spans="2:39" ht="15.5" outlineLevel="1">
      <c r="B135" s="294"/>
      <c r="C135" s="291"/>
      <c r="D135" s="750"/>
      <c r="E135" s="750"/>
      <c r="F135" s="750"/>
      <c r="G135" s="750"/>
      <c r="H135" s="750"/>
      <c r="I135" s="750"/>
      <c r="J135" s="750"/>
      <c r="K135" s="750"/>
      <c r="L135" s="750"/>
      <c r="M135" s="750"/>
      <c r="N135" s="750"/>
      <c r="O135" s="750"/>
      <c r="P135" s="750"/>
      <c r="Q135" s="750"/>
      <c r="R135" s="750"/>
      <c r="S135" s="750"/>
      <c r="T135" s="750"/>
      <c r="U135" s="750"/>
      <c r="V135" s="750"/>
      <c r="W135" s="750"/>
      <c r="X135" s="750"/>
      <c r="Y135" s="761"/>
      <c r="Z135" s="780"/>
      <c r="AA135" s="780"/>
      <c r="AB135" s="780"/>
      <c r="AC135" s="780"/>
      <c r="AD135" s="780"/>
      <c r="AE135" s="780"/>
      <c r="AF135" s="780"/>
      <c r="AG135" s="422"/>
      <c r="AH135" s="422"/>
      <c r="AI135" s="422"/>
      <c r="AJ135" s="422"/>
      <c r="AK135" s="422"/>
      <c r="AL135" s="422"/>
      <c r="AM135" s="306"/>
    </row>
    <row r="136" spans="1:39" ht="31" outlineLevel="1">
      <c r="A136" s="516">
        <v>31</v>
      </c>
      <c r="B136" s="514"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76"/>
      <c r="Z136" s="759"/>
      <c r="AA136" s="759"/>
      <c r="AB136" s="759"/>
      <c r="AC136" s="759"/>
      <c r="AD136" s="759"/>
      <c r="AE136" s="759"/>
      <c r="AF136" s="764"/>
      <c r="AG136" s="414"/>
      <c r="AH136" s="414"/>
      <c r="AI136" s="414"/>
      <c r="AJ136" s="414"/>
      <c r="AK136" s="414"/>
      <c r="AL136" s="414"/>
      <c r="AM136" s="296">
        <f>SUM(Y136:AL136)</f>
        <v>0</v>
      </c>
    </row>
    <row r="137" spans="2: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760">
        <f>Y136</f>
        <v>0</v>
      </c>
      <c r="Z137" s="760">
        <f t="shared" si="178" ref="Z137:AF137">Z136</f>
        <v>0</v>
      </c>
      <c r="AA137" s="760">
        <f t="shared" si="178"/>
        <v>0</v>
      </c>
      <c r="AB137" s="760">
        <f t="shared" si="178"/>
        <v>0</v>
      </c>
      <c r="AC137" s="760">
        <f t="shared" si="178"/>
        <v>0</v>
      </c>
      <c r="AD137" s="760">
        <f t="shared" si="178"/>
        <v>0</v>
      </c>
      <c r="AE137" s="760">
        <f t="shared" si="178"/>
        <v>0</v>
      </c>
      <c r="AF137" s="760">
        <f t="shared" si="178"/>
        <v>0</v>
      </c>
      <c r="AG137" s="410">
        <f t="shared" si="179" ref="AG137">AG136</f>
        <v>0</v>
      </c>
      <c r="AH137" s="410">
        <f t="shared" si="180" ref="AH137">AH136</f>
        <v>0</v>
      </c>
      <c r="AI137" s="410">
        <f t="shared" si="181" ref="AI137">AI136</f>
        <v>0</v>
      </c>
      <c r="AJ137" s="410">
        <f t="shared" si="182" ref="AJ137">AJ136</f>
        <v>0</v>
      </c>
      <c r="AK137" s="410">
        <f t="shared" si="183" ref="AK137">AK136</f>
        <v>0</v>
      </c>
      <c r="AL137" s="410">
        <f t="shared" si="184" ref="AL137">AL136</f>
        <v>0</v>
      </c>
      <c r="AM137" s="306"/>
    </row>
    <row r="138" spans="2:39" ht="15.5" outlineLevel="1">
      <c r="B138" s="514"/>
      <c r="C138" s="291"/>
      <c r="D138" s="750"/>
      <c r="E138" s="750"/>
      <c r="F138" s="750"/>
      <c r="G138" s="750"/>
      <c r="H138" s="750"/>
      <c r="I138" s="750"/>
      <c r="J138" s="750"/>
      <c r="K138" s="750"/>
      <c r="L138" s="750"/>
      <c r="M138" s="750"/>
      <c r="N138" s="750"/>
      <c r="O138" s="750"/>
      <c r="P138" s="750"/>
      <c r="Q138" s="750"/>
      <c r="R138" s="750"/>
      <c r="S138" s="750"/>
      <c r="T138" s="750"/>
      <c r="U138" s="750"/>
      <c r="V138" s="750"/>
      <c r="W138" s="750"/>
      <c r="X138" s="750"/>
      <c r="Y138" s="761"/>
      <c r="Z138" s="780"/>
      <c r="AA138" s="780"/>
      <c r="AB138" s="780"/>
      <c r="AC138" s="780"/>
      <c r="AD138" s="780"/>
      <c r="AE138" s="780"/>
      <c r="AF138" s="780"/>
      <c r="AG138" s="422"/>
      <c r="AH138" s="422"/>
      <c r="AI138" s="422"/>
      <c r="AJ138" s="422"/>
      <c r="AK138" s="422"/>
      <c r="AL138" s="422"/>
      <c r="AM138" s="306"/>
    </row>
    <row r="139" spans="1:39" ht="15.75" customHeight="1" outlineLevel="1">
      <c r="A139" s="516">
        <v>32</v>
      </c>
      <c r="B139" s="514"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76"/>
      <c r="Z139" s="759"/>
      <c r="AA139" s="759"/>
      <c r="AB139" s="759"/>
      <c r="AC139" s="759"/>
      <c r="AD139" s="759"/>
      <c r="AE139" s="759"/>
      <c r="AF139" s="764"/>
      <c r="AG139" s="414"/>
      <c r="AH139" s="414"/>
      <c r="AI139" s="414"/>
      <c r="AJ139" s="414"/>
      <c r="AK139" s="414"/>
      <c r="AL139" s="414"/>
      <c r="AM139" s="296">
        <f>SUM(Y139:AL139)</f>
        <v>0</v>
      </c>
    </row>
    <row r="140" spans="2: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760">
        <f>Y139</f>
        <v>0</v>
      </c>
      <c r="Z140" s="760">
        <f t="shared" si="185" ref="Z140:AF140">Z139</f>
        <v>0</v>
      </c>
      <c r="AA140" s="760">
        <f t="shared" si="185"/>
        <v>0</v>
      </c>
      <c r="AB140" s="760">
        <f t="shared" si="185"/>
        <v>0</v>
      </c>
      <c r="AC140" s="760">
        <f t="shared" si="185"/>
        <v>0</v>
      </c>
      <c r="AD140" s="760">
        <f t="shared" si="185"/>
        <v>0</v>
      </c>
      <c r="AE140" s="760">
        <f t="shared" si="185"/>
        <v>0</v>
      </c>
      <c r="AF140" s="760">
        <f t="shared" si="185"/>
        <v>0</v>
      </c>
      <c r="AG140" s="410">
        <f t="shared" si="186" ref="AG140">AG139</f>
        <v>0</v>
      </c>
      <c r="AH140" s="410">
        <f t="shared" si="187" ref="AH140">AH139</f>
        <v>0</v>
      </c>
      <c r="AI140" s="410">
        <f t="shared" si="188" ref="AI140">AI139</f>
        <v>0</v>
      </c>
      <c r="AJ140" s="410">
        <f t="shared" si="189" ref="AJ140">AJ139</f>
        <v>0</v>
      </c>
      <c r="AK140" s="410">
        <f t="shared" si="190" ref="AK140">AK139</f>
        <v>0</v>
      </c>
      <c r="AL140" s="410">
        <f t="shared" si="191" ref="AL140">AL139</f>
        <v>0</v>
      </c>
      <c r="AM140" s="306"/>
    </row>
    <row r="141" spans="2:39" ht="15.5" outlineLevel="1">
      <c r="B141" s="514"/>
      <c r="C141" s="291"/>
      <c r="D141" s="750"/>
      <c r="E141" s="750"/>
      <c r="F141" s="750"/>
      <c r="G141" s="750"/>
      <c r="H141" s="750"/>
      <c r="I141" s="750"/>
      <c r="J141" s="750"/>
      <c r="K141" s="750"/>
      <c r="L141" s="750"/>
      <c r="M141" s="750"/>
      <c r="N141" s="750"/>
      <c r="O141" s="750"/>
      <c r="P141" s="750"/>
      <c r="Q141" s="750"/>
      <c r="R141" s="750"/>
      <c r="S141" s="750"/>
      <c r="T141" s="750"/>
      <c r="U141" s="750"/>
      <c r="V141" s="750"/>
      <c r="W141" s="750"/>
      <c r="X141" s="750"/>
      <c r="Y141" s="761"/>
      <c r="Z141" s="780"/>
      <c r="AA141" s="780"/>
      <c r="AB141" s="780"/>
      <c r="AC141" s="780"/>
      <c r="AD141" s="780"/>
      <c r="AE141" s="780"/>
      <c r="AF141" s="780"/>
      <c r="AG141" s="422"/>
      <c r="AH141" s="422"/>
      <c r="AI141" s="422"/>
      <c r="AJ141" s="422"/>
      <c r="AK141" s="422"/>
      <c r="AL141" s="422"/>
      <c r="AM141" s="306"/>
    </row>
    <row r="142" spans="2:39" ht="15.5" outlineLevel="1">
      <c r="B142" s="288" t="s">
        <v>500</v>
      </c>
      <c r="C142" s="291"/>
      <c r="D142" s="750"/>
      <c r="E142" s="750"/>
      <c r="F142" s="750"/>
      <c r="G142" s="750"/>
      <c r="H142" s="750"/>
      <c r="I142" s="750"/>
      <c r="J142" s="750"/>
      <c r="K142" s="750"/>
      <c r="L142" s="750"/>
      <c r="M142" s="750"/>
      <c r="N142" s="750"/>
      <c r="O142" s="750"/>
      <c r="P142" s="750"/>
      <c r="Q142" s="750"/>
      <c r="R142" s="750"/>
      <c r="S142" s="750"/>
      <c r="T142" s="750"/>
      <c r="U142" s="750"/>
      <c r="V142" s="750"/>
      <c r="W142" s="750"/>
      <c r="X142" s="750"/>
      <c r="Y142" s="761"/>
      <c r="Z142" s="780"/>
      <c r="AA142" s="780"/>
      <c r="AB142" s="780"/>
      <c r="AC142" s="780"/>
      <c r="AD142" s="780"/>
      <c r="AE142" s="780"/>
      <c r="AF142" s="780"/>
      <c r="AG142" s="422"/>
      <c r="AH142" s="422"/>
      <c r="AI142" s="422"/>
      <c r="AJ142" s="422"/>
      <c r="AK142" s="422"/>
      <c r="AL142" s="422"/>
      <c r="AM142" s="306"/>
    </row>
    <row r="143" spans="1:39" ht="15.5" outlineLevel="1">
      <c r="A143" s="516">
        <v>33</v>
      </c>
      <c r="B143" s="514"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76"/>
      <c r="Z143" s="759"/>
      <c r="AA143" s="759"/>
      <c r="AB143" s="759"/>
      <c r="AC143" s="759"/>
      <c r="AD143" s="759"/>
      <c r="AE143" s="759"/>
      <c r="AF143" s="764"/>
      <c r="AG143" s="414"/>
      <c r="AH143" s="414"/>
      <c r="AI143" s="414"/>
      <c r="AJ143" s="414"/>
      <c r="AK143" s="414"/>
      <c r="AL143" s="414"/>
      <c r="AM143" s="296">
        <f>SUM(Y143:AL143)</f>
        <v>0</v>
      </c>
    </row>
    <row r="144" spans="2: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760">
        <f>Y143</f>
        <v>0</v>
      </c>
      <c r="Z144" s="760">
        <f t="shared" si="192" ref="Z144:AF144">Z143</f>
        <v>0</v>
      </c>
      <c r="AA144" s="760">
        <f t="shared" si="192"/>
        <v>0</v>
      </c>
      <c r="AB144" s="760">
        <f t="shared" si="192"/>
        <v>0</v>
      </c>
      <c r="AC144" s="760">
        <f t="shared" si="192"/>
        <v>0</v>
      </c>
      <c r="AD144" s="760">
        <f t="shared" si="192"/>
        <v>0</v>
      </c>
      <c r="AE144" s="760">
        <f t="shared" si="192"/>
        <v>0</v>
      </c>
      <c r="AF144" s="760">
        <f t="shared" si="192"/>
        <v>0</v>
      </c>
      <c r="AG144" s="410">
        <f t="shared" si="193" ref="AG144">AG143</f>
        <v>0</v>
      </c>
      <c r="AH144" s="410">
        <f t="shared" si="194" ref="AH144">AH143</f>
        <v>0</v>
      </c>
      <c r="AI144" s="410">
        <f t="shared" si="195" ref="AI144">AI143</f>
        <v>0</v>
      </c>
      <c r="AJ144" s="410">
        <f t="shared" si="196" ref="AJ144">AJ143</f>
        <v>0</v>
      </c>
      <c r="AK144" s="410">
        <f t="shared" si="197" ref="AK144">AK143</f>
        <v>0</v>
      </c>
      <c r="AL144" s="410">
        <f t="shared" si="198" ref="AL144">AL143</f>
        <v>0</v>
      </c>
      <c r="AM144" s="306"/>
    </row>
    <row r="145" spans="2:39" ht="15.5" outlineLevel="1">
      <c r="B145" s="514"/>
      <c r="C145" s="291"/>
      <c r="D145" s="750"/>
      <c r="E145" s="750"/>
      <c r="F145" s="750"/>
      <c r="G145" s="750"/>
      <c r="H145" s="750"/>
      <c r="I145" s="750"/>
      <c r="J145" s="750"/>
      <c r="K145" s="750"/>
      <c r="L145" s="750"/>
      <c r="M145" s="750"/>
      <c r="N145" s="750"/>
      <c r="O145" s="750"/>
      <c r="P145" s="750"/>
      <c r="Q145" s="750"/>
      <c r="R145" s="750"/>
      <c r="S145" s="750"/>
      <c r="T145" s="750"/>
      <c r="U145" s="750"/>
      <c r="V145" s="750"/>
      <c r="W145" s="750"/>
      <c r="X145" s="750"/>
      <c r="Y145" s="761"/>
      <c r="Z145" s="780"/>
      <c r="AA145" s="780"/>
      <c r="AB145" s="780"/>
      <c r="AC145" s="780"/>
      <c r="AD145" s="780"/>
      <c r="AE145" s="780"/>
      <c r="AF145" s="780"/>
      <c r="AG145" s="422"/>
      <c r="AH145" s="422"/>
      <c r="AI145" s="422"/>
      <c r="AJ145" s="422"/>
      <c r="AK145" s="422"/>
      <c r="AL145" s="422"/>
      <c r="AM145" s="306"/>
    </row>
    <row r="146" spans="1:39" ht="15.5" outlineLevel="1">
      <c r="A146" s="516">
        <v>34</v>
      </c>
      <c r="B146" s="514"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76"/>
      <c r="Z146" s="759"/>
      <c r="AA146" s="759"/>
      <c r="AB146" s="759"/>
      <c r="AC146" s="759"/>
      <c r="AD146" s="759"/>
      <c r="AE146" s="759"/>
      <c r="AF146" s="764"/>
      <c r="AG146" s="414"/>
      <c r="AH146" s="414"/>
      <c r="AI146" s="414"/>
      <c r="AJ146" s="414"/>
      <c r="AK146" s="414"/>
      <c r="AL146" s="414"/>
      <c r="AM146" s="296">
        <f>SUM(Y146:AL146)</f>
        <v>0</v>
      </c>
    </row>
    <row r="147" spans="2: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760">
        <f>Y146</f>
        <v>0</v>
      </c>
      <c r="Z147" s="760">
        <f t="shared" si="199" ref="Z147:AF147">Z146</f>
        <v>0</v>
      </c>
      <c r="AA147" s="760">
        <f t="shared" si="199"/>
        <v>0</v>
      </c>
      <c r="AB147" s="760">
        <f t="shared" si="199"/>
        <v>0</v>
      </c>
      <c r="AC147" s="760">
        <f t="shared" si="199"/>
        <v>0</v>
      </c>
      <c r="AD147" s="760">
        <f t="shared" si="199"/>
        <v>0</v>
      </c>
      <c r="AE147" s="760">
        <f t="shared" si="199"/>
        <v>0</v>
      </c>
      <c r="AF147" s="760">
        <f t="shared" si="199"/>
        <v>0</v>
      </c>
      <c r="AG147" s="410">
        <f t="shared" si="200" ref="AG147">AG146</f>
        <v>0</v>
      </c>
      <c r="AH147" s="410">
        <f t="shared" si="201" ref="AH147">AH146</f>
        <v>0</v>
      </c>
      <c r="AI147" s="410">
        <f t="shared" si="202" ref="AI147">AI146</f>
        <v>0</v>
      </c>
      <c r="AJ147" s="410">
        <f t="shared" si="203" ref="AJ147">AJ146</f>
        <v>0</v>
      </c>
      <c r="AK147" s="410">
        <f t="shared" si="204" ref="AK147">AK146</f>
        <v>0</v>
      </c>
      <c r="AL147" s="410">
        <f t="shared" si="205" ref="AL147">AL146</f>
        <v>0</v>
      </c>
      <c r="AM147" s="306"/>
    </row>
    <row r="148" spans="2:39" ht="15.5" outlineLevel="1">
      <c r="B148" s="514"/>
      <c r="C148" s="291"/>
      <c r="D148" s="750"/>
      <c r="E148" s="750"/>
      <c r="F148" s="750"/>
      <c r="G148" s="750"/>
      <c r="H148" s="750"/>
      <c r="I148" s="750"/>
      <c r="J148" s="750"/>
      <c r="K148" s="750"/>
      <c r="L148" s="750"/>
      <c r="M148" s="750"/>
      <c r="N148" s="750"/>
      <c r="O148" s="750"/>
      <c r="P148" s="750"/>
      <c r="Q148" s="750"/>
      <c r="R148" s="750"/>
      <c r="S148" s="750"/>
      <c r="T148" s="750"/>
      <c r="U148" s="750"/>
      <c r="V148" s="750"/>
      <c r="W148" s="750"/>
      <c r="X148" s="750"/>
      <c r="Y148" s="761"/>
      <c r="Z148" s="780"/>
      <c r="AA148" s="780"/>
      <c r="AB148" s="780"/>
      <c r="AC148" s="780"/>
      <c r="AD148" s="780"/>
      <c r="AE148" s="780"/>
      <c r="AF148" s="780"/>
      <c r="AG148" s="422"/>
      <c r="AH148" s="422"/>
      <c r="AI148" s="422"/>
      <c r="AJ148" s="422"/>
      <c r="AK148" s="422"/>
      <c r="AL148" s="422"/>
      <c r="AM148" s="306"/>
    </row>
    <row r="149" spans="1:39" ht="15.5" outlineLevel="1">
      <c r="A149" s="516">
        <v>35</v>
      </c>
      <c r="B149" s="514"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76"/>
      <c r="Z149" s="759"/>
      <c r="AA149" s="759"/>
      <c r="AB149" s="759"/>
      <c r="AC149" s="759"/>
      <c r="AD149" s="759"/>
      <c r="AE149" s="759"/>
      <c r="AF149" s="764"/>
      <c r="AG149" s="414"/>
      <c r="AH149" s="414"/>
      <c r="AI149" s="414"/>
      <c r="AJ149" s="414"/>
      <c r="AK149" s="414"/>
      <c r="AL149" s="414"/>
      <c r="AM149" s="296">
        <f>SUM(Y149:AL149)</f>
        <v>0</v>
      </c>
    </row>
    <row r="150" spans="2: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760">
        <f>Y149</f>
        <v>0</v>
      </c>
      <c r="Z150" s="760">
        <f t="shared" si="206" ref="Z150:AF150">Z149</f>
        <v>0</v>
      </c>
      <c r="AA150" s="760">
        <f t="shared" si="206"/>
        <v>0</v>
      </c>
      <c r="AB150" s="760">
        <f t="shared" si="206"/>
        <v>0</v>
      </c>
      <c r="AC150" s="760">
        <f t="shared" si="206"/>
        <v>0</v>
      </c>
      <c r="AD150" s="760">
        <f t="shared" si="206"/>
        <v>0</v>
      </c>
      <c r="AE150" s="760">
        <f t="shared" si="206"/>
        <v>0</v>
      </c>
      <c r="AF150" s="760">
        <f t="shared" si="206"/>
        <v>0</v>
      </c>
      <c r="AG150" s="410">
        <f t="shared" si="207" ref="AG150">AG149</f>
        <v>0</v>
      </c>
      <c r="AH150" s="410">
        <f t="shared" si="208" ref="AH150">AH149</f>
        <v>0</v>
      </c>
      <c r="AI150" s="410">
        <f t="shared" si="209" ref="AI150">AI149</f>
        <v>0</v>
      </c>
      <c r="AJ150" s="410">
        <f t="shared" si="210" ref="AJ150">AJ149</f>
        <v>0</v>
      </c>
      <c r="AK150" s="410">
        <f t="shared" si="211" ref="AK150">AK149</f>
        <v>0</v>
      </c>
      <c r="AL150" s="410">
        <f t="shared" si="212" ref="AL150">AL149</f>
        <v>0</v>
      </c>
      <c r="AM150" s="306"/>
    </row>
    <row r="151" spans="2:39" ht="15.5" outlineLevel="1">
      <c r="B151" s="294"/>
      <c r="C151" s="291"/>
      <c r="D151" s="750"/>
      <c r="E151" s="750"/>
      <c r="F151" s="750"/>
      <c r="G151" s="750"/>
      <c r="H151" s="750"/>
      <c r="I151" s="750"/>
      <c r="J151" s="750"/>
      <c r="K151" s="750"/>
      <c r="L151" s="750"/>
      <c r="M151" s="750"/>
      <c r="N151" s="750"/>
      <c r="O151" s="750"/>
      <c r="P151" s="750"/>
      <c r="Q151" s="750"/>
      <c r="R151" s="750"/>
      <c r="S151" s="750"/>
      <c r="T151" s="750"/>
      <c r="U151" s="750"/>
      <c r="V151" s="750"/>
      <c r="W151" s="750"/>
      <c r="X151" s="750"/>
      <c r="Y151" s="761"/>
      <c r="Z151" s="780"/>
      <c r="AA151" s="780"/>
      <c r="AB151" s="780"/>
      <c r="AC151" s="780"/>
      <c r="AD151" s="780"/>
      <c r="AE151" s="780"/>
      <c r="AF151" s="780"/>
      <c r="AG151" s="422"/>
      <c r="AH151" s="422"/>
      <c r="AI151" s="422"/>
      <c r="AJ151" s="422"/>
      <c r="AK151" s="422"/>
      <c r="AL151" s="422"/>
      <c r="AM151" s="306"/>
    </row>
    <row r="152" spans="2:39" ht="15.5" outlineLevel="1">
      <c r="B152" s="288" t="s">
        <v>501</v>
      </c>
      <c r="C152" s="291"/>
      <c r="D152" s="750"/>
      <c r="E152" s="750"/>
      <c r="F152" s="750"/>
      <c r="G152" s="750"/>
      <c r="H152" s="750"/>
      <c r="I152" s="750"/>
      <c r="J152" s="750"/>
      <c r="K152" s="750"/>
      <c r="L152" s="750"/>
      <c r="M152" s="750"/>
      <c r="N152" s="750"/>
      <c r="O152" s="750"/>
      <c r="P152" s="750"/>
      <c r="Q152" s="750"/>
      <c r="R152" s="750"/>
      <c r="S152" s="750"/>
      <c r="T152" s="750"/>
      <c r="U152" s="750"/>
      <c r="V152" s="750"/>
      <c r="W152" s="750"/>
      <c r="X152" s="750"/>
      <c r="Y152" s="761"/>
      <c r="Z152" s="780"/>
      <c r="AA152" s="780"/>
      <c r="AB152" s="780"/>
      <c r="AC152" s="780"/>
      <c r="AD152" s="780"/>
      <c r="AE152" s="780"/>
      <c r="AF152" s="780"/>
      <c r="AG152" s="422"/>
      <c r="AH152" s="422"/>
      <c r="AI152" s="422"/>
      <c r="AJ152" s="422"/>
      <c r="AK152" s="422"/>
      <c r="AL152" s="422"/>
      <c r="AM152" s="306"/>
    </row>
    <row r="153" spans="1:39" ht="46.5" outlineLevel="1">
      <c r="A153" s="516">
        <v>36</v>
      </c>
      <c r="B153" s="514"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76"/>
      <c r="Z153" s="759"/>
      <c r="AA153" s="759"/>
      <c r="AB153" s="759"/>
      <c r="AC153" s="759"/>
      <c r="AD153" s="759"/>
      <c r="AE153" s="759"/>
      <c r="AF153" s="764"/>
      <c r="AG153" s="414"/>
      <c r="AH153" s="414"/>
      <c r="AI153" s="414"/>
      <c r="AJ153" s="414"/>
      <c r="AK153" s="414"/>
      <c r="AL153" s="414"/>
      <c r="AM153" s="296">
        <f>SUM(Y153:AL153)</f>
        <v>0</v>
      </c>
    </row>
    <row r="154" spans="2: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760">
        <f>Y153</f>
        <v>0</v>
      </c>
      <c r="Z154" s="760">
        <f t="shared" si="213" ref="Z154:AF154">Z153</f>
        <v>0</v>
      </c>
      <c r="AA154" s="760">
        <f t="shared" si="213"/>
        <v>0</v>
      </c>
      <c r="AB154" s="760">
        <f t="shared" si="213"/>
        <v>0</v>
      </c>
      <c r="AC154" s="760">
        <f t="shared" si="213"/>
        <v>0</v>
      </c>
      <c r="AD154" s="760">
        <f t="shared" si="213"/>
        <v>0</v>
      </c>
      <c r="AE154" s="760">
        <f t="shared" si="213"/>
        <v>0</v>
      </c>
      <c r="AF154" s="760">
        <f t="shared" si="213"/>
        <v>0</v>
      </c>
      <c r="AG154" s="410">
        <f t="shared" si="214" ref="AG154">AG153</f>
        <v>0</v>
      </c>
      <c r="AH154" s="410">
        <f t="shared" si="215" ref="AH154">AH153</f>
        <v>0</v>
      </c>
      <c r="AI154" s="410">
        <f t="shared" si="216" ref="AI154">AI153</f>
        <v>0</v>
      </c>
      <c r="AJ154" s="410">
        <f t="shared" si="217" ref="AJ154">AJ153</f>
        <v>0</v>
      </c>
      <c r="AK154" s="410">
        <f t="shared" si="218" ref="AK154">AK153</f>
        <v>0</v>
      </c>
      <c r="AL154" s="410">
        <f t="shared" si="219" ref="AL154">AL153</f>
        <v>0</v>
      </c>
      <c r="AM154" s="306"/>
    </row>
    <row r="155" spans="2:39" ht="15.5" outlineLevel="1">
      <c r="B155" s="514"/>
      <c r="C155" s="291"/>
      <c r="D155" s="750"/>
      <c r="E155" s="750"/>
      <c r="F155" s="750"/>
      <c r="G155" s="750"/>
      <c r="H155" s="750"/>
      <c r="I155" s="750"/>
      <c r="J155" s="750"/>
      <c r="K155" s="750"/>
      <c r="L155" s="750"/>
      <c r="M155" s="750"/>
      <c r="N155" s="750"/>
      <c r="O155" s="750"/>
      <c r="P155" s="750"/>
      <c r="Q155" s="750"/>
      <c r="R155" s="750"/>
      <c r="S155" s="750"/>
      <c r="T155" s="750"/>
      <c r="U155" s="750"/>
      <c r="V155" s="750"/>
      <c r="W155" s="750"/>
      <c r="X155" s="750"/>
      <c r="Y155" s="761"/>
      <c r="Z155" s="780"/>
      <c r="AA155" s="780"/>
      <c r="AB155" s="780"/>
      <c r="AC155" s="780"/>
      <c r="AD155" s="780"/>
      <c r="AE155" s="780"/>
      <c r="AF155" s="780"/>
      <c r="AG155" s="422"/>
      <c r="AH155" s="422"/>
      <c r="AI155" s="422"/>
      <c r="AJ155" s="422"/>
      <c r="AK155" s="422"/>
      <c r="AL155" s="422"/>
      <c r="AM155" s="306"/>
    </row>
    <row r="156" spans="1:39" ht="31" outlineLevel="1">
      <c r="A156" s="516">
        <v>37</v>
      </c>
      <c r="B156" s="514"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776"/>
      <c r="Z156" s="759"/>
      <c r="AA156" s="759"/>
      <c r="AB156" s="759"/>
      <c r="AC156" s="759"/>
      <c r="AD156" s="759"/>
      <c r="AE156" s="759"/>
      <c r="AF156" s="764"/>
      <c r="AG156" s="414"/>
      <c r="AH156" s="414"/>
      <c r="AI156" s="414"/>
      <c r="AJ156" s="414"/>
      <c r="AK156" s="414"/>
      <c r="AL156" s="414"/>
      <c r="AM156" s="296">
        <f>SUM(Y156:AL156)</f>
        <v>0</v>
      </c>
    </row>
    <row r="157" spans="2: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760">
        <f>Y156</f>
        <v>0</v>
      </c>
      <c r="Z157" s="760">
        <f t="shared" si="220" ref="Z157:AF157">Z156</f>
        <v>0</v>
      </c>
      <c r="AA157" s="760">
        <f t="shared" si="220"/>
        <v>0</v>
      </c>
      <c r="AB157" s="760">
        <f t="shared" si="220"/>
        <v>0</v>
      </c>
      <c r="AC157" s="760">
        <f t="shared" si="220"/>
        <v>0</v>
      </c>
      <c r="AD157" s="760">
        <f t="shared" si="220"/>
        <v>0</v>
      </c>
      <c r="AE157" s="760">
        <f t="shared" si="220"/>
        <v>0</v>
      </c>
      <c r="AF157" s="760">
        <f t="shared" si="220"/>
        <v>0</v>
      </c>
      <c r="AG157" s="410">
        <f t="shared" si="221" ref="AG157">AG156</f>
        <v>0</v>
      </c>
      <c r="AH157" s="410">
        <f t="shared" si="222" ref="AH157">AH156</f>
        <v>0</v>
      </c>
      <c r="AI157" s="410">
        <f t="shared" si="223" ref="AI157">AI156</f>
        <v>0</v>
      </c>
      <c r="AJ157" s="410">
        <f t="shared" si="224" ref="AJ157">AJ156</f>
        <v>0</v>
      </c>
      <c r="AK157" s="410">
        <f t="shared" si="225" ref="AK157">AK156</f>
        <v>0</v>
      </c>
      <c r="AL157" s="410">
        <f t="shared" si="226" ref="AL157">AL156</f>
        <v>0</v>
      </c>
      <c r="AM157" s="306"/>
    </row>
    <row r="158" spans="2:39" ht="15.5" outlineLevel="1">
      <c r="B158" s="514"/>
      <c r="C158" s="291"/>
      <c r="D158" s="750"/>
      <c r="E158" s="750"/>
      <c r="F158" s="750"/>
      <c r="G158" s="750"/>
      <c r="H158" s="750"/>
      <c r="I158" s="750"/>
      <c r="J158" s="750"/>
      <c r="K158" s="750"/>
      <c r="L158" s="750"/>
      <c r="M158" s="750"/>
      <c r="N158" s="750"/>
      <c r="O158" s="750"/>
      <c r="P158" s="750"/>
      <c r="Q158" s="750"/>
      <c r="R158" s="750"/>
      <c r="S158" s="750"/>
      <c r="T158" s="750"/>
      <c r="U158" s="750"/>
      <c r="V158" s="750"/>
      <c r="W158" s="750"/>
      <c r="X158" s="750"/>
      <c r="Y158" s="761"/>
      <c r="Z158" s="780"/>
      <c r="AA158" s="780"/>
      <c r="AB158" s="780"/>
      <c r="AC158" s="780"/>
      <c r="AD158" s="780"/>
      <c r="AE158" s="780"/>
      <c r="AF158" s="780"/>
      <c r="AG158" s="422"/>
      <c r="AH158" s="422"/>
      <c r="AI158" s="422"/>
      <c r="AJ158" s="422"/>
      <c r="AK158" s="422"/>
      <c r="AL158" s="422"/>
      <c r="AM158" s="306"/>
    </row>
    <row r="159" spans="1:39" ht="15.5" outlineLevel="1">
      <c r="A159" s="516">
        <v>38</v>
      </c>
      <c r="B159" s="514"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776"/>
      <c r="Z159" s="759"/>
      <c r="AA159" s="759"/>
      <c r="AB159" s="759"/>
      <c r="AC159" s="759"/>
      <c r="AD159" s="759"/>
      <c r="AE159" s="759"/>
      <c r="AF159" s="764"/>
      <c r="AG159" s="414"/>
      <c r="AH159" s="414"/>
      <c r="AI159" s="414"/>
      <c r="AJ159" s="414"/>
      <c r="AK159" s="414"/>
      <c r="AL159" s="414"/>
      <c r="AM159" s="296">
        <f>SUM(Y159:AL159)</f>
        <v>0</v>
      </c>
    </row>
    <row r="160" spans="2: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760">
        <f>Y159</f>
        <v>0</v>
      </c>
      <c r="Z160" s="760">
        <f t="shared" si="227" ref="Z160:AF160">Z159</f>
        <v>0</v>
      </c>
      <c r="AA160" s="760">
        <f t="shared" si="227"/>
        <v>0</v>
      </c>
      <c r="AB160" s="760">
        <f t="shared" si="227"/>
        <v>0</v>
      </c>
      <c r="AC160" s="760">
        <f t="shared" si="227"/>
        <v>0</v>
      </c>
      <c r="AD160" s="760">
        <f t="shared" si="227"/>
        <v>0</v>
      </c>
      <c r="AE160" s="760">
        <f t="shared" si="227"/>
        <v>0</v>
      </c>
      <c r="AF160" s="760">
        <f t="shared" si="227"/>
        <v>0</v>
      </c>
      <c r="AG160" s="410">
        <f t="shared" si="228" ref="AG160">AG159</f>
        <v>0</v>
      </c>
      <c r="AH160" s="410">
        <f t="shared" si="229" ref="AH160">AH159</f>
        <v>0</v>
      </c>
      <c r="AI160" s="410">
        <f t="shared" si="230" ref="AI160">AI159</f>
        <v>0</v>
      </c>
      <c r="AJ160" s="410">
        <f t="shared" si="231" ref="AJ160">AJ159</f>
        <v>0</v>
      </c>
      <c r="AK160" s="410">
        <f t="shared" si="232" ref="AK160">AK159</f>
        <v>0</v>
      </c>
      <c r="AL160" s="410">
        <f t="shared" si="233" ref="AL160">AL159</f>
        <v>0</v>
      </c>
      <c r="AM160" s="306"/>
    </row>
    <row r="161" spans="2:39" ht="15.5" outlineLevel="1">
      <c r="B161" s="514"/>
      <c r="C161" s="291"/>
      <c r="D161" s="750"/>
      <c r="E161" s="750"/>
      <c r="F161" s="750"/>
      <c r="G161" s="750"/>
      <c r="H161" s="750"/>
      <c r="I161" s="750"/>
      <c r="J161" s="750"/>
      <c r="K161" s="750"/>
      <c r="L161" s="750"/>
      <c r="M161" s="750"/>
      <c r="N161" s="750"/>
      <c r="O161" s="750"/>
      <c r="P161" s="750"/>
      <c r="Q161" s="750"/>
      <c r="R161" s="750"/>
      <c r="S161" s="750"/>
      <c r="T161" s="750"/>
      <c r="U161" s="750"/>
      <c r="V161" s="750"/>
      <c r="W161" s="750"/>
      <c r="X161" s="750"/>
      <c r="Y161" s="761"/>
      <c r="Z161" s="780"/>
      <c r="AA161" s="780"/>
      <c r="AB161" s="780"/>
      <c r="AC161" s="780"/>
      <c r="AD161" s="780"/>
      <c r="AE161" s="780"/>
      <c r="AF161" s="780"/>
      <c r="AG161" s="422"/>
      <c r="AH161" s="422"/>
      <c r="AI161" s="422"/>
      <c r="AJ161" s="422"/>
      <c r="AK161" s="422"/>
      <c r="AL161" s="422"/>
      <c r="AM161" s="306"/>
    </row>
    <row r="162" spans="1:39" ht="31" outlineLevel="1">
      <c r="A162" s="516">
        <v>39</v>
      </c>
      <c r="B162" s="514"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776"/>
      <c r="Z162" s="759"/>
      <c r="AA162" s="759"/>
      <c r="AB162" s="759"/>
      <c r="AC162" s="759"/>
      <c r="AD162" s="759"/>
      <c r="AE162" s="759"/>
      <c r="AF162" s="764"/>
      <c r="AG162" s="414"/>
      <c r="AH162" s="414"/>
      <c r="AI162" s="414"/>
      <c r="AJ162" s="414"/>
      <c r="AK162" s="414"/>
      <c r="AL162" s="414"/>
      <c r="AM162" s="296">
        <f>SUM(Y162:AL162)</f>
        <v>0</v>
      </c>
    </row>
    <row r="163" spans="2: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760">
        <f>Y162</f>
        <v>0</v>
      </c>
      <c r="Z163" s="760">
        <f t="shared" si="234" ref="Z163:AF163">Z162</f>
        <v>0</v>
      </c>
      <c r="AA163" s="760">
        <f t="shared" si="234"/>
        <v>0</v>
      </c>
      <c r="AB163" s="760">
        <f t="shared" si="234"/>
        <v>0</v>
      </c>
      <c r="AC163" s="760">
        <f t="shared" si="234"/>
        <v>0</v>
      </c>
      <c r="AD163" s="760">
        <f t="shared" si="234"/>
        <v>0</v>
      </c>
      <c r="AE163" s="760">
        <f t="shared" si="234"/>
        <v>0</v>
      </c>
      <c r="AF163" s="760">
        <f t="shared" si="234"/>
        <v>0</v>
      </c>
      <c r="AG163" s="410">
        <f t="shared" si="235" ref="AG163">AG162</f>
        <v>0</v>
      </c>
      <c r="AH163" s="410">
        <f t="shared" si="236" ref="AH163">AH162</f>
        <v>0</v>
      </c>
      <c r="AI163" s="410">
        <f t="shared" si="237" ref="AI163">AI162</f>
        <v>0</v>
      </c>
      <c r="AJ163" s="410">
        <f t="shared" si="238" ref="AJ163">AJ162</f>
        <v>0</v>
      </c>
      <c r="AK163" s="410">
        <f t="shared" si="239" ref="AK163">AK162</f>
        <v>0</v>
      </c>
      <c r="AL163" s="410">
        <f t="shared" si="240" ref="AL163">AL162</f>
        <v>0</v>
      </c>
      <c r="AM163" s="306"/>
    </row>
    <row r="164" spans="2:39" ht="15.5" outlineLevel="1">
      <c r="B164" s="514"/>
      <c r="C164" s="291"/>
      <c r="D164" s="750"/>
      <c r="E164" s="750"/>
      <c r="F164" s="750"/>
      <c r="G164" s="750"/>
      <c r="H164" s="750"/>
      <c r="I164" s="750"/>
      <c r="J164" s="750"/>
      <c r="K164" s="750"/>
      <c r="L164" s="750"/>
      <c r="M164" s="750"/>
      <c r="N164" s="750"/>
      <c r="O164" s="750"/>
      <c r="P164" s="750"/>
      <c r="Q164" s="750"/>
      <c r="R164" s="750"/>
      <c r="S164" s="750"/>
      <c r="T164" s="750"/>
      <c r="U164" s="750"/>
      <c r="V164" s="750"/>
      <c r="W164" s="750"/>
      <c r="X164" s="750"/>
      <c r="Y164" s="761"/>
      <c r="Z164" s="780"/>
      <c r="AA164" s="780"/>
      <c r="AB164" s="780"/>
      <c r="AC164" s="780"/>
      <c r="AD164" s="780"/>
      <c r="AE164" s="780"/>
      <c r="AF164" s="780"/>
      <c r="AG164" s="422"/>
      <c r="AH164" s="422"/>
      <c r="AI164" s="422"/>
      <c r="AJ164" s="422"/>
      <c r="AK164" s="422"/>
      <c r="AL164" s="422"/>
      <c r="AM164" s="306"/>
    </row>
    <row r="165" spans="1:39" ht="31" outlineLevel="1">
      <c r="A165" s="516">
        <v>40</v>
      </c>
      <c r="B165" s="514"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776"/>
      <c r="Z165" s="759"/>
      <c r="AA165" s="759"/>
      <c r="AB165" s="759"/>
      <c r="AC165" s="759"/>
      <c r="AD165" s="759"/>
      <c r="AE165" s="759"/>
      <c r="AF165" s="764"/>
      <c r="AG165" s="414"/>
      <c r="AH165" s="414"/>
      <c r="AI165" s="414"/>
      <c r="AJ165" s="414"/>
      <c r="AK165" s="414"/>
      <c r="AL165" s="414"/>
      <c r="AM165" s="296">
        <f>SUM(Y165:AL165)</f>
        <v>0</v>
      </c>
    </row>
    <row r="166" spans="2: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760">
        <f>Y165</f>
        <v>0</v>
      </c>
      <c r="Z166" s="760">
        <f t="shared" si="241" ref="Z166:AF166">Z165</f>
        <v>0</v>
      </c>
      <c r="AA166" s="760">
        <f t="shared" si="241"/>
        <v>0</v>
      </c>
      <c r="AB166" s="760">
        <f t="shared" si="241"/>
        <v>0</v>
      </c>
      <c r="AC166" s="760">
        <f t="shared" si="241"/>
        <v>0</v>
      </c>
      <c r="AD166" s="760">
        <f t="shared" si="241"/>
        <v>0</v>
      </c>
      <c r="AE166" s="760">
        <f t="shared" si="241"/>
        <v>0</v>
      </c>
      <c r="AF166" s="760">
        <f t="shared" si="241"/>
        <v>0</v>
      </c>
      <c r="AG166" s="410">
        <f t="shared" si="242" ref="AG166">AG165</f>
        <v>0</v>
      </c>
      <c r="AH166" s="410">
        <f t="shared" si="243" ref="AH166">AH165</f>
        <v>0</v>
      </c>
      <c r="AI166" s="410">
        <f t="shared" si="244" ref="AI166">AI165</f>
        <v>0</v>
      </c>
      <c r="AJ166" s="410">
        <f t="shared" si="245" ref="AJ166">AJ165</f>
        <v>0</v>
      </c>
      <c r="AK166" s="410">
        <f t="shared" si="246" ref="AK166">AK165</f>
        <v>0</v>
      </c>
      <c r="AL166" s="410">
        <f t="shared" si="247" ref="AL166">AL165</f>
        <v>0</v>
      </c>
      <c r="AM166" s="306"/>
    </row>
    <row r="167" spans="2:39" ht="15.5" outlineLevel="1">
      <c r="B167" s="514"/>
      <c r="C167" s="291"/>
      <c r="D167" s="750"/>
      <c r="E167" s="750"/>
      <c r="F167" s="750"/>
      <c r="G167" s="750"/>
      <c r="H167" s="750"/>
      <c r="I167" s="750"/>
      <c r="J167" s="750"/>
      <c r="K167" s="750"/>
      <c r="L167" s="750"/>
      <c r="M167" s="750"/>
      <c r="N167" s="750"/>
      <c r="O167" s="750"/>
      <c r="P167" s="750"/>
      <c r="Q167" s="750"/>
      <c r="R167" s="750"/>
      <c r="S167" s="750"/>
      <c r="T167" s="750"/>
      <c r="U167" s="750"/>
      <c r="V167" s="750"/>
      <c r="W167" s="750"/>
      <c r="X167" s="750"/>
      <c r="Y167" s="761"/>
      <c r="Z167" s="780"/>
      <c r="AA167" s="780"/>
      <c r="AB167" s="780"/>
      <c r="AC167" s="780"/>
      <c r="AD167" s="780"/>
      <c r="AE167" s="780"/>
      <c r="AF167" s="780"/>
      <c r="AG167" s="422"/>
      <c r="AH167" s="422"/>
      <c r="AI167" s="422"/>
      <c r="AJ167" s="422"/>
      <c r="AK167" s="422"/>
      <c r="AL167" s="422"/>
      <c r="AM167" s="306"/>
    </row>
    <row r="168" spans="1:39" ht="46.5" outlineLevel="1">
      <c r="A168" s="516">
        <v>41</v>
      </c>
      <c r="B168" s="514"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776"/>
      <c r="Z168" s="759"/>
      <c r="AA168" s="759"/>
      <c r="AB168" s="759"/>
      <c r="AC168" s="759"/>
      <c r="AD168" s="759"/>
      <c r="AE168" s="759"/>
      <c r="AF168" s="764"/>
      <c r="AG168" s="414"/>
      <c r="AH168" s="414"/>
      <c r="AI168" s="414"/>
      <c r="AJ168" s="414"/>
      <c r="AK168" s="414"/>
      <c r="AL168" s="414"/>
      <c r="AM168" s="296">
        <f>SUM(Y168:AL168)</f>
        <v>0</v>
      </c>
    </row>
    <row r="169" spans="2: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760">
        <f>Y168</f>
        <v>0</v>
      </c>
      <c r="Z169" s="760">
        <f t="shared" si="248" ref="Z169:AF169">Z168</f>
        <v>0</v>
      </c>
      <c r="AA169" s="760">
        <f t="shared" si="248"/>
        <v>0</v>
      </c>
      <c r="AB169" s="760">
        <f t="shared" si="248"/>
        <v>0</v>
      </c>
      <c r="AC169" s="760">
        <f t="shared" si="248"/>
        <v>0</v>
      </c>
      <c r="AD169" s="760">
        <f t="shared" si="248"/>
        <v>0</v>
      </c>
      <c r="AE169" s="760">
        <f t="shared" si="248"/>
        <v>0</v>
      </c>
      <c r="AF169" s="760">
        <f t="shared" si="248"/>
        <v>0</v>
      </c>
      <c r="AG169" s="410">
        <f t="shared" si="249" ref="AG169">AG168</f>
        <v>0</v>
      </c>
      <c r="AH169" s="410">
        <f t="shared" si="250" ref="AH169">AH168</f>
        <v>0</v>
      </c>
      <c r="AI169" s="410">
        <f t="shared" si="251" ref="AI169">AI168</f>
        <v>0</v>
      </c>
      <c r="AJ169" s="410">
        <f t="shared" si="252" ref="AJ169">AJ168</f>
        <v>0</v>
      </c>
      <c r="AK169" s="410">
        <f t="shared" si="253" ref="AK169">AK168</f>
        <v>0</v>
      </c>
      <c r="AL169" s="410">
        <f t="shared" si="254" ref="AL169">AL168</f>
        <v>0</v>
      </c>
      <c r="AM169" s="306"/>
    </row>
    <row r="170" spans="2:39" ht="15.5" outlineLevel="1">
      <c r="B170" s="514"/>
      <c r="C170" s="291"/>
      <c r="D170" s="750"/>
      <c r="E170" s="750"/>
      <c r="F170" s="750"/>
      <c r="G170" s="750"/>
      <c r="H170" s="750"/>
      <c r="I170" s="750"/>
      <c r="J170" s="750"/>
      <c r="K170" s="750"/>
      <c r="L170" s="750"/>
      <c r="M170" s="750"/>
      <c r="N170" s="750"/>
      <c r="O170" s="750"/>
      <c r="P170" s="750"/>
      <c r="Q170" s="750"/>
      <c r="R170" s="750"/>
      <c r="S170" s="750"/>
      <c r="T170" s="750"/>
      <c r="U170" s="750"/>
      <c r="V170" s="750"/>
      <c r="W170" s="750"/>
      <c r="X170" s="750"/>
      <c r="Y170" s="761"/>
      <c r="Z170" s="780"/>
      <c r="AA170" s="780"/>
      <c r="AB170" s="780"/>
      <c r="AC170" s="780"/>
      <c r="AD170" s="780"/>
      <c r="AE170" s="780"/>
      <c r="AF170" s="780"/>
      <c r="AG170" s="422"/>
      <c r="AH170" s="422"/>
      <c r="AI170" s="422"/>
      <c r="AJ170" s="422"/>
      <c r="AK170" s="422"/>
      <c r="AL170" s="422"/>
      <c r="AM170" s="306"/>
    </row>
    <row r="171" spans="1:39" ht="31" outlineLevel="1">
      <c r="A171" s="516">
        <v>42</v>
      </c>
      <c r="B171" s="514" t="s">
        <v>134</v>
      </c>
      <c r="C171" s="291" t="s">
        <v>25</v>
      </c>
      <c r="D171" s="295"/>
      <c r="E171" s="295"/>
      <c r="F171" s="295"/>
      <c r="G171" s="295"/>
      <c r="H171" s="295"/>
      <c r="I171" s="295"/>
      <c r="J171" s="295"/>
      <c r="K171" s="295"/>
      <c r="L171" s="295"/>
      <c r="M171" s="295"/>
      <c r="N171" s="750"/>
      <c r="O171" s="295"/>
      <c r="P171" s="295"/>
      <c r="Q171" s="295"/>
      <c r="R171" s="295"/>
      <c r="S171" s="295"/>
      <c r="T171" s="295"/>
      <c r="U171" s="295"/>
      <c r="V171" s="295"/>
      <c r="W171" s="295"/>
      <c r="X171" s="295"/>
      <c r="Y171" s="776"/>
      <c r="Z171" s="759"/>
      <c r="AA171" s="759"/>
      <c r="AB171" s="759"/>
      <c r="AC171" s="759"/>
      <c r="AD171" s="759"/>
      <c r="AE171" s="759"/>
      <c r="AF171" s="764"/>
      <c r="AG171" s="414"/>
      <c r="AH171" s="414"/>
      <c r="AI171" s="414"/>
      <c r="AJ171" s="414"/>
      <c r="AK171" s="414"/>
      <c r="AL171" s="414"/>
      <c r="AM171" s="296">
        <f>SUM(Y171:AL171)</f>
        <v>0</v>
      </c>
    </row>
    <row r="172" spans="2:39" ht="15.5" outlineLevel="1">
      <c r="B172" s="294" t="s">
        <v>267</v>
      </c>
      <c r="C172" s="291" t="s">
        <v>163</v>
      </c>
      <c r="D172" s="295"/>
      <c r="E172" s="295"/>
      <c r="F172" s="295"/>
      <c r="G172" s="295"/>
      <c r="H172" s="295"/>
      <c r="I172" s="295"/>
      <c r="J172" s="295"/>
      <c r="K172" s="295"/>
      <c r="L172" s="295"/>
      <c r="M172" s="295"/>
      <c r="N172" s="751"/>
      <c r="O172" s="295"/>
      <c r="P172" s="295"/>
      <c r="Q172" s="295"/>
      <c r="R172" s="295"/>
      <c r="S172" s="295"/>
      <c r="T172" s="295"/>
      <c r="U172" s="295"/>
      <c r="V172" s="295"/>
      <c r="W172" s="295"/>
      <c r="X172" s="295"/>
      <c r="Y172" s="760">
        <f>Y171</f>
        <v>0</v>
      </c>
      <c r="Z172" s="760">
        <f t="shared" si="255" ref="Z172:AF172">Z171</f>
        <v>0</v>
      </c>
      <c r="AA172" s="760">
        <f t="shared" si="255"/>
        <v>0</v>
      </c>
      <c r="AB172" s="760">
        <f t="shared" si="255"/>
        <v>0</v>
      </c>
      <c r="AC172" s="760">
        <f t="shared" si="255"/>
        <v>0</v>
      </c>
      <c r="AD172" s="760">
        <f t="shared" si="255"/>
        <v>0</v>
      </c>
      <c r="AE172" s="760">
        <f t="shared" si="255"/>
        <v>0</v>
      </c>
      <c r="AF172" s="760">
        <f t="shared" si="255"/>
        <v>0</v>
      </c>
      <c r="AG172" s="410">
        <f t="shared" si="256" ref="AG172">AG171</f>
        <v>0</v>
      </c>
      <c r="AH172" s="410">
        <f t="shared" si="257" ref="AH172">AH171</f>
        <v>0</v>
      </c>
      <c r="AI172" s="410">
        <f t="shared" si="258" ref="AI172">AI171</f>
        <v>0</v>
      </c>
      <c r="AJ172" s="410">
        <f t="shared" si="259" ref="AJ172">AJ171</f>
        <v>0</v>
      </c>
      <c r="AK172" s="410">
        <f t="shared" si="260" ref="AK172">AK171</f>
        <v>0</v>
      </c>
      <c r="AL172" s="410">
        <f t="shared" si="261" ref="AL172">AL171</f>
        <v>0</v>
      </c>
      <c r="AM172" s="306"/>
    </row>
    <row r="173" spans="2:39" ht="15.5" outlineLevel="1">
      <c r="B173" s="514"/>
      <c r="C173" s="291"/>
      <c r="D173" s="750"/>
      <c r="E173" s="750"/>
      <c r="F173" s="750"/>
      <c r="G173" s="750"/>
      <c r="H173" s="750"/>
      <c r="I173" s="750"/>
      <c r="J173" s="750"/>
      <c r="K173" s="750"/>
      <c r="L173" s="750"/>
      <c r="M173" s="750"/>
      <c r="N173" s="750"/>
      <c r="O173" s="750"/>
      <c r="P173" s="750"/>
      <c r="Q173" s="750"/>
      <c r="R173" s="750"/>
      <c r="S173" s="750"/>
      <c r="T173" s="750"/>
      <c r="U173" s="750"/>
      <c r="V173" s="750"/>
      <c r="W173" s="750"/>
      <c r="X173" s="750"/>
      <c r="Y173" s="761"/>
      <c r="Z173" s="780"/>
      <c r="AA173" s="780"/>
      <c r="AB173" s="780"/>
      <c r="AC173" s="780"/>
      <c r="AD173" s="780"/>
      <c r="AE173" s="780"/>
      <c r="AF173" s="780"/>
      <c r="AG173" s="422"/>
      <c r="AH173" s="422"/>
      <c r="AI173" s="422"/>
      <c r="AJ173" s="422"/>
      <c r="AK173" s="422"/>
      <c r="AL173" s="422"/>
      <c r="AM173" s="306"/>
    </row>
    <row r="174" spans="1:39" ht="15.5" outlineLevel="1">
      <c r="A174" s="516">
        <v>43</v>
      </c>
      <c r="B174" s="514"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776"/>
      <c r="Z174" s="759"/>
      <c r="AA174" s="759"/>
      <c r="AB174" s="759"/>
      <c r="AC174" s="759"/>
      <c r="AD174" s="759"/>
      <c r="AE174" s="759"/>
      <c r="AF174" s="764"/>
      <c r="AG174" s="414"/>
      <c r="AH174" s="414"/>
      <c r="AI174" s="414"/>
      <c r="AJ174" s="414"/>
      <c r="AK174" s="414"/>
      <c r="AL174" s="414"/>
      <c r="AM174" s="296">
        <f>SUM(Y174:AL174)</f>
        <v>0</v>
      </c>
    </row>
    <row r="175" spans="2: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760">
        <f>Y174</f>
        <v>0</v>
      </c>
      <c r="Z175" s="760">
        <f t="shared" si="262" ref="Z175:AF175">Z174</f>
        <v>0</v>
      </c>
      <c r="AA175" s="760">
        <f t="shared" si="262"/>
        <v>0</v>
      </c>
      <c r="AB175" s="760">
        <f t="shared" si="262"/>
        <v>0</v>
      </c>
      <c r="AC175" s="760">
        <f t="shared" si="262"/>
        <v>0</v>
      </c>
      <c r="AD175" s="760">
        <f t="shared" si="262"/>
        <v>0</v>
      </c>
      <c r="AE175" s="760">
        <f t="shared" si="262"/>
        <v>0</v>
      </c>
      <c r="AF175" s="760">
        <f t="shared" si="262"/>
        <v>0</v>
      </c>
      <c r="AG175" s="410">
        <f t="shared" si="263" ref="AG175">AG174</f>
        <v>0</v>
      </c>
      <c r="AH175" s="410">
        <f t="shared" si="264" ref="AH175">AH174</f>
        <v>0</v>
      </c>
      <c r="AI175" s="410">
        <f t="shared" si="265" ref="AI175">AI174</f>
        <v>0</v>
      </c>
      <c r="AJ175" s="410">
        <f t="shared" si="266" ref="AJ175">AJ174</f>
        <v>0</v>
      </c>
      <c r="AK175" s="410">
        <f t="shared" si="267" ref="AK175">AK174</f>
        <v>0</v>
      </c>
      <c r="AL175" s="410">
        <f t="shared" si="268" ref="AL175">AL174</f>
        <v>0</v>
      </c>
      <c r="AM175" s="306"/>
    </row>
    <row r="176" spans="2:39" ht="15.5" outlineLevel="1">
      <c r="B176" s="514"/>
      <c r="C176" s="291"/>
      <c r="D176" s="750"/>
      <c r="E176" s="750"/>
      <c r="F176" s="750"/>
      <c r="G176" s="750"/>
      <c r="H176" s="750"/>
      <c r="I176" s="750"/>
      <c r="J176" s="750"/>
      <c r="K176" s="750"/>
      <c r="L176" s="750"/>
      <c r="M176" s="750"/>
      <c r="N176" s="750"/>
      <c r="O176" s="750"/>
      <c r="P176" s="750"/>
      <c r="Q176" s="750"/>
      <c r="R176" s="750"/>
      <c r="S176" s="750"/>
      <c r="T176" s="750"/>
      <c r="U176" s="750"/>
      <c r="V176" s="750"/>
      <c r="W176" s="750"/>
      <c r="X176" s="750"/>
      <c r="Y176" s="761"/>
      <c r="Z176" s="780"/>
      <c r="AA176" s="780"/>
      <c r="AB176" s="780"/>
      <c r="AC176" s="780"/>
      <c r="AD176" s="780"/>
      <c r="AE176" s="780"/>
      <c r="AF176" s="780"/>
      <c r="AG176" s="422"/>
      <c r="AH176" s="422"/>
      <c r="AI176" s="422"/>
      <c r="AJ176" s="422"/>
      <c r="AK176" s="422"/>
      <c r="AL176" s="422"/>
      <c r="AM176" s="306"/>
    </row>
    <row r="177" spans="1:39" ht="46.5" outlineLevel="1">
      <c r="A177" s="516">
        <v>44</v>
      </c>
      <c r="B177" s="514"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776"/>
      <c r="Z177" s="759"/>
      <c r="AA177" s="759"/>
      <c r="AB177" s="759"/>
      <c r="AC177" s="759"/>
      <c r="AD177" s="759"/>
      <c r="AE177" s="759"/>
      <c r="AF177" s="764"/>
      <c r="AG177" s="414"/>
      <c r="AH177" s="414"/>
      <c r="AI177" s="414"/>
      <c r="AJ177" s="414"/>
      <c r="AK177" s="414"/>
      <c r="AL177" s="414"/>
      <c r="AM177" s="296">
        <f>SUM(Y177:AL177)</f>
        <v>0</v>
      </c>
    </row>
    <row r="178" spans="2: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760">
        <f>Y177</f>
        <v>0</v>
      </c>
      <c r="Z178" s="760">
        <f t="shared" si="269" ref="Z178:AF178">Z177</f>
        <v>0</v>
      </c>
      <c r="AA178" s="760">
        <f t="shared" si="269"/>
        <v>0</v>
      </c>
      <c r="AB178" s="760">
        <f t="shared" si="269"/>
        <v>0</v>
      </c>
      <c r="AC178" s="760">
        <f t="shared" si="269"/>
        <v>0</v>
      </c>
      <c r="AD178" s="760">
        <f t="shared" si="269"/>
        <v>0</v>
      </c>
      <c r="AE178" s="760">
        <f t="shared" si="269"/>
        <v>0</v>
      </c>
      <c r="AF178" s="760">
        <f t="shared" si="269"/>
        <v>0</v>
      </c>
      <c r="AG178" s="410">
        <f t="shared" si="270" ref="AG178">AG177</f>
        <v>0</v>
      </c>
      <c r="AH178" s="410">
        <f t="shared" si="271" ref="AH178">AH177</f>
        <v>0</v>
      </c>
      <c r="AI178" s="410">
        <f t="shared" si="272" ref="AI178">AI177</f>
        <v>0</v>
      </c>
      <c r="AJ178" s="410">
        <f t="shared" si="273" ref="AJ178">AJ177</f>
        <v>0</v>
      </c>
      <c r="AK178" s="410">
        <f t="shared" si="274" ref="AK178">AK177</f>
        <v>0</v>
      </c>
      <c r="AL178" s="410">
        <f t="shared" si="275" ref="AL178">AL177</f>
        <v>0</v>
      </c>
      <c r="AM178" s="306"/>
    </row>
    <row r="179" spans="2:39" ht="15.5" outlineLevel="1">
      <c r="B179" s="514"/>
      <c r="C179" s="291"/>
      <c r="D179" s="750"/>
      <c r="E179" s="750"/>
      <c r="F179" s="750"/>
      <c r="G179" s="750"/>
      <c r="H179" s="750"/>
      <c r="I179" s="750"/>
      <c r="J179" s="750"/>
      <c r="K179" s="750"/>
      <c r="L179" s="750"/>
      <c r="M179" s="750"/>
      <c r="N179" s="750"/>
      <c r="O179" s="750"/>
      <c r="P179" s="750"/>
      <c r="Q179" s="750"/>
      <c r="R179" s="750"/>
      <c r="S179" s="750"/>
      <c r="T179" s="750"/>
      <c r="U179" s="750"/>
      <c r="V179" s="750"/>
      <c r="W179" s="750"/>
      <c r="X179" s="750"/>
      <c r="Y179" s="761"/>
      <c r="Z179" s="780"/>
      <c r="AA179" s="780"/>
      <c r="AB179" s="780"/>
      <c r="AC179" s="780"/>
      <c r="AD179" s="780"/>
      <c r="AE179" s="780"/>
      <c r="AF179" s="780"/>
      <c r="AG179" s="422"/>
      <c r="AH179" s="422"/>
      <c r="AI179" s="422"/>
      <c r="AJ179" s="422"/>
      <c r="AK179" s="422"/>
      <c r="AL179" s="422"/>
      <c r="AM179" s="306"/>
    </row>
    <row r="180" spans="1:39" ht="31" outlineLevel="1">
      <c r="A180" s="516">
        <v>45</v>
      </c>
      <c r="B180" s="514"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776"/>
      <c r="Z180" s="759"/>
      <c r="AA180" s="759"/>
      <c r="AB180" s="759"/>
      <c r="AC180" s="759"/>
      <c r="AD180" s="759"/>
      <c r="AE180" s="759"/>
      <c r="AF180" s="764"/>
      <c r="AG180" s="414"/>
      <c r="AH180" s="414"/>
      <c r="AI180" s="414"/>
      <c r="AJ180" s="414"/>
      <c r="AK180" s="414"/>
      <c r="AL180" s="414"/>
      <c r="AM180" s="296">
        <f>SUM(Y180:AL180)</f>
        <v>0</v>
      </c>
    </row>
    <row r="181" spans="2: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760">
        <f>Y180</f>
        <v>0</v>
      </c>
      <c r="Z181" s="760">
        <f t="shared" si="276" ref="Z181:AF181">Z180</f>
        <v>0</v>
      </c>
      <c r="AA181" s="760">
        <f t="shared" si="276"/>
        <v>0</v>
      </c>
      <c r="AB181" s="760">
        <f t="shared" si="276"/>
        <v>0</v>
      </c>
      <c r="AC181" s="760">
        <f t="shared" si="276"/>
        <v>0</v>
      </c>
      <c r="AD181" s="760">
        <f t="shared" si="276"/>
        <v>0</v>
      </c>
      <c r="AE181" s="760">
        <f t="shared" si="276"/>
        <v>0</v>
      </c>
      <c r="AF181" s="760">
        <f t="shared" si="276"/>
        <v>0</v>
      </c>
      <c r="AG181" s="410">
        <f t="shared" si="277" ref="AG181">AG180</f>
        <v>0</v>
      </c>
      <c r="AH181" s="410">
        <f t="shared" si="278" ref="AH181">AH180</f>
        <v>0</v>
      </c>
      <c r="AI181" s="410">
        <f t="shared" si="279" ref="AI181">AI180</f>
        <v>0</v>
      </c>
      <c r="AJ181" s="410">
        <f t="shared" si="280" ref="AJ181">AJ180</f>
        <v>0</v>
      </c>
      <c r="AK181" s="410">
        <f t="shared" si="281" ref="AK181">AK180</f>
        <v>0</v>
      </c>
      <c r="AL181" s="410">
        <f t="shared" si="282" ref="AL181">AL180</f>
        <v>0</v>
      </c>
      <c r="AM181" s="306"/>
    </row>
    <row r="182" spans="2:39" ht="15.5" outlineLevel="1">
      <c r="B182" s="514"/>
      <c r="C182" s="291"/>
      <c r="D182" s="750"/>
      <c r="E182" s="750"/>
      <c r="F182" s="750"/>
      <c r="G182" s="750"/>
      <c r="H182" s="750"/>
      <c r="I182" s="750"/>
      <c r="J182" s="750"/>
      <c r="K182" s="750"/>
      <c r="L182" s="750"/>
      <c r="M182" s="750"/>
      <c r="N182" s="750"/>
      <c r="O182" s="750"/>
      <c r="P182" s="750"/>
      <c r="Q182" s="750"/>
      <c r="R182" s="750"/>
      <c r="S182" s="750"/>
      <c r="T182" s="750"/>
      <c r="U182" s="750"/>
      <c r="V182" s="750"/>
      <c r="W182" s="750"/>
      <c r="X182" s="750"/>
      <c r="Y182" s="761"/>
      <c r="Z182" s="780"/>
      <c r="AA182" s="780"/>
      <c r="AB182" s="780"/>
      <c r="AC182" s="780"/>
      <c r="AD182" s="780"/>
      <c r="AE182" s="780"/>
      <c r="AF182" s="780"/>
      <c r="AG182" s="422"/>
      <c r="AH182" s="422"/>
      <c r="AI182" s="422"/>
      <c r="AJ182" s="422"/>
      <c r="AK182" s="422"/>
      <c r="AL182" s="422"/>
      <c r="AM182" s="306"/>
    </row>
    <row r="183" spans="1:39" ht="31" outlineLevel="1">
      <c r="A183" s="516">
        <v>46</v>
      </c>
      <c r="B183" s="514"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776"/>
      <c r="Z183" s="759"/>
      <c r="AA183" s="759"/>
      <c r="AB183" s="759"/>
      <c r="AC183" s="759"/>
      <c r="AD183" s="759"/>
      <c r="AE183" s="759"/>
      <c r="AF183" s="764"/>
      <c r="AG183" s="414"/>
      <c r="AH183" s="414"/>
      <c r="AI183" s="414"/>
      <c r="AJ183" s="414"/>
      <c r="AK183" s="414"/>
      <c r="AL183" s="414"/>
      <c r="AM183" s="296">
        <f>SUM(Y183:AL183)</f>
        <v>0</v>
      </c>
    </row>
    <row r="184" spans="2: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760">
        <f>Y183</f>
        <v>0</v>
      </c>
      <c r="Z184" s="760">
        <f t="shared" si="283" ref="Z184:AF184">Z183</f>
        <v>0</v>
      </c>
      <c r="AA184" s="760">
        <f t="shared" si="283"/>
        <v>0</v>
      </c>
      <c r="AB184" s="760">
        <f t="shared" si="283"/>
        <v>0</v>
      </c>
      <c r="AC184" s="760">
        <f t="shared" si="283"/>
        <v>0</v>
      </c>
      <c r="AD184" s="760">
        <f t="shared" si="283"/>
        <v>0</v>
      </c>
      <c r="AE184" s="760">
        <f t="shared" si="283"/>
        <v>0</v>
      </c>
      <c r="AF184" s="760">
        <f t="shared" si="283"/>
        <v>0</v>
      </c>
      <c r="AG184" s="410">
        <f t="shared" si="284" ref="AG184">AG183</f>
        <v>0</v>
      </c>
      <c r="AH184" s="410">
        <f t="shared" si="285" ref="AH184">AH183</f>
        <v>0</v>
      </c>
      <c r="AI184" s="410">
        <f t="shared" si="286" ref="AI184">AI183</f>
        <v>0</v>
      </c>
      <c r="AJ184" s="410">
        <f t="shared" si="287" ref="AJ184">AJ183</f>
        <v>0</v>
      </c>
      <c r="AK184" s="410">
        <f t="shared" si="288" ref="AK184">AK183</f>
        <v>0</v>
      </c>
      <c r="AL184" s="410">
        <f t="shared" si="289" ref="AL184">AL183</f>
        <v>0</v>
      </c>
      <c r="AM184" s="306"/>
    </row>
    <row r="185" spans="2:39" ht="15.5" outlineLevel="1">
      <c r="B185" s="514"/>
      <c r="C185" s="291"/>
      <c r="D185" s="750"/>
      <c r="E185" s="750"/>
      <c r="F185" s="750"/>
      <c r="G185" s="750"/>
      <c r="H185" s="750"/>
      <c r="I185" s="750"/>
      <c r="J185" s="750"/>
      <c r="K185" s="750"/>
      <c r="L185" s="750"/>
      <c r="M185" s="750"/>
      <c r="N185" s="750"/>
      <c r="O185" s="750"/>
      <c r="P185" s="750"/>
      <c r="Q185" s="750"/>
      <c r="R185" s="750"/>
      <c r="S185" s="750"/>
      <c r="T185" s="750"/>
      <c r="U185" s="750"/>
      <c r="V185" s="750"/>
      <c r="W185" s="750"/>
      <c r="X185" s="750"/>
      <c r="Y185" s="761"/>
      <c r="Z185" s="780"/>
      <c r="AA185" s="780"/>
      <c r="AB185" s="780"/>
      <c r="AC185" s="780"/>
      <c r="AD185" s="780"/>
      <c r="AE185" s="780"/>
      <c r="AF185" s="780"/>
      <c r="AG185" s="422"/>
      <c r="AH185" s="422"/>
      <c r="AI185" s="422"/>
      <c r="AJ185" s="422"/>
      <c r="AK185" s="422"/>
      <c r="AL185" s="422"/>
      <c r="AM185" s="306"/>
    </row>
    <row r="186" spans="1:39" ht="31" outlineLevel="1">
      <c r="A186" s="516">
        <v>47</v>
      </c>
      <c r="B186" s="514"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776"/>
      <c r="Z186" s="759"/>
      <c r="AA186" s="759"/>
      <c r="AB186" s="759"/>
      <c r="AC186" s="759"/>
      <c r="AD186" s="759"/>
      <c r="AE186" s="759"/>
      <c r="AF186" s="764"/>
      <c r="AG186" s="414"/>
      <c r="AH186" s="414"/>
      <c r="AI186" s="414"/>
      <c r="AJ186" s="414"/>
      <c r="AK186" s="414"/>
      <c r="AL186" s="414"/>
      <c r="AM186" s="296">
        <f>SUM(Y186:AL186)</f>
        <v>0</v>
      </c>
    </row>
    <row r="187" spans="2: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760">
        <f>Y186</f>
        <v>0</v>
      </c>
      <c r="Z187" s="760">
        <f t="shared" si="290" ref="Z187:AF187">Z186</f>
        <v>0</v>
      </c>
      <c r="AA187" s="760">
        <f t="shared" si="290"/>
        <v>0</v>
      </c>
      <c r="AB187" s="760">
        <f t="shared" si="290"/>
        <v>0</v>
      </c>
      <c r="AC187" s="760">
        <f t="shared" si="290"/>
        <v>0</v>
      </c>
      <c r="AD187" s="760">
        <f t="shared" si="290"/>
        <v>0</v>
      </c>
      <c r="AE187" s="760">
        <f t="shared" si="290"/>
        <v>0</v>
      </c>
      <c r="AF187" s="760">
        <f t="shared" si="290"/>
        <v>0</v>
      </c>
      <c r="AG187" s="410">
        <f t="shared" si="291" ref="AG187">AG186</f>
        <v>0</v>
      </c>
      <c r="AH187" s="410">
        <f t="shared" si="292" ref="AH187">AH186</f>
        <v>0</v>
      </c>
      <c r="AI187" s="410">
        <f t="shared" si="293" ref="AI187">AI186</f>
        <v>0</v>
      </c>
      <c r="AJ187" s="410">
        <f t="shared" si="294" ref="AJ187">AJ186</f>
        <v>0</v>
      </c>
      <c r="AK187" s="410">
        <f t="shared" si="295" ref="AK187">AK186</f>
        <v>0</v>
      </c>
      <c r="AL187" s="410">
        <f t="shared" si="296" ref="AL187">AL186</f>
        <v>0</v>
      </c>
      <c r="AM187" s="306"/>
    </row>
    <row r="188" spans="2:39" ht="15.5" outlineLevel="1">
      <c r="B188" s="514"/>
      <c r="C188" s="291"/>
      <c r="D188" s="750"/>
      <c r="E188" s="750"/>
      <c r="F188" s="750"/>
      <c r="G188" s="750"/>
      <c r="H188" s="750"/>
      <c r="I188" s="750"/>
      <c r="J188" s="750"/>
      <c r="K188" s="750"/>
      <c r="L188" s="750"/>
      <c r="M188" s="750"/>
      <c r="N188" s="750"/>
      <c r="O188" s="750"/>
      <c r="P188" s="750"/>
      <c r="Q188" s="750"/>
      <c r="R188" s="750"/>
      <c r="S188" s="750"/>
      <c r="T188" s="750"/>
      <c r="U188" s="750"/>
      <c r="V188" s="750"/>
      <c r="W188" s="750"/>
      <c r="X188" s="750"/>
      <c r="Y188" s="761"/>
      <c r="Z188" s="780"/>
      <c r="AA188" s="780"/>
      <c r="AB188" s="780"/>
      <c r="AC188" s="780"/>
      <c r="AD188" s="780"/>
      <c r="AE188" s="780"/>
      <c r="AF188" s="780"/>
      <c r="AG188" s="422"/>
      <c r="AH188" s="422"/>
      <c r="AI188" s="422"/>
      <c r="AJ188" s="422"/>
      <c r="AK188" s="422"/>
      <c r="AL188" s="422"/>
      <c r="AM188" s="306"/>
    </row>
    <row r="189" spans="1:39" ht="31" outlineLevel="1">
      <c r="A189" s="516">
        <v>48</v>
      </c>
      <c r="B189" s="514"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776"/>
      <c r="Z189" s="759"/>
      <c r="AA189" s="759"/>
      <c r="AB189" s="759"/>
      <c r="AC189" s="759"/>
      <c r="AD189" s="759"/>
      <c r="AE189" s="759"/>
      <c r="AF189" s="764"/>
      <c r="AG189" s="414"/>
      <c r="AH189" s="414"/>
      <c r="AI189" s="414"/>
      <c r="AJ189" s="414"/>
      <c r="AK189" s="414"/>
      <c r="AL189" s="414"/>
      <c r="AM189" s="296">
        <f>SUM(Y189:AL189)</f>
        <v>0</v>
      </c>
    </row>
    <row r="190" spans="2: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760">
        <f>Y189</f>
        <v>0</v>
      </c>
      <c r="Z190" s="760">
        <f t="shared" si="297" ref="Z190:AF190">Z189</f>
        <v>0</v>
      </c>
      <c r="AA190" s="760">
        <f t="shared" si="297"/>
        <v>0</v>
      </c>
      <c r="AB190" s="760">
        <f t="shared" si="297"/>
        <v>0</v>
      </c>
      <c r="AC190" s="760">
        <f t="shared" si="297"/>
        <v>0</v>
      </c>
      <c r="AD190" s="760">
        <f t="shared" si="297"/>
        <v>0</v>
      </c>
      <c r="AE190" s="760">
        <f t="shared" si="297"/>
        <v>0</v>
      </c>
      <c r="AF190" s="760">
        <f t="shared" si="297"/>
        <v>0</v>
      </c>
      <c r="AG190" s="410">
        <f t="shared" si="298" ref="AG190">AG189</f>
        <v>0</v>
      </c>
      <c r="AH190" s="410">
        <f t="shared" si="299" ref="AH190">AH189</f>
        <v>0</v>
      </c>
      <c r="AI190" s="410">
        <f t="shared" si="300" ref="AI190">AI189</f>
        <v>0</v>
      </c>
      <c r="AJ190" s="410">
        <f t="shared" si="301" ref="AJ190">AJ189</f>
        <v>0</v>
      </c>
      <c r="AK190" s="410">
        <f t="shared" si="302" ref="AK190">AK189</f>
        <v>0</v>
      </c>
      <c r="AL190" s="410">
        <f t="shared" si="303" ref="AL190">AL189</f>
        <v>0</v>
      </c>
      <c r="AM190" s="306"/>
    </row>
    <row r="191" spans="2:39" ht="15.5" outlineLevel="1">
      <c r="B191" s="514"/>
      <c r="C191" s="291"/>
      <c r="D191" s="750"/>
      <c r="E191" s="750"/>
      <c r="F191" s="750"/>
      <c r="G191" s="750"/>
      <c r="H191" s="750"/>
      <c r="I191" s="750"/>
      <c r="J191" s="750"/>
      <c r="K191" s="750"/>
      <c r="L191" s="750"/>
      <c r="M191" s="750"/>
      <c r="N191" s="750"/>
      <c r="O191" s="750"/>
      <c r="P191" s="750"/>
      <c r="Q191" s="750"/>
      <c r="R191" s="750"/>
      <c r="S191" s="750"/>
      <c r="T191" s="750"/>
      <c r="U191" s="750"/>
      <c r="V191" s="750"/>
      <c r="W191" s="750"/>
      <c r="X191" s="750"/>
      <c r="Y191" s="761"/>
      <c r="Z191" s="780"/>
      <c r="AA191" s="780"/>
      <c r="AB191" s="780"/>
      <c r="AC191" s="780"/>
      <c r="AD191" s="780"/>
      <c r="AE191" s="780"/>
      <c r="AF191" s="780"/>
      <c r="AG191" s="422"/>
      <c r="AH191" s="422"/>
      <c r="AI191" s="422"/>
      <c r="AJ191" s="422"/>
      <c r="AK191" s="422"/>
      <c r="AL191" s="422"/>
      <c r="AM191" s="306"/>
    </row>
    <row r="192" spans="1:39" ht="31" outlineLevel="1">
      <c r="A192" s="516">
        <v>49</v>
      </c>
      <c r="B192" s="514"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776"/>
      <c r="Z192" s="759"/>
      <c r="AA192" s="759"/>
      <c r="AB192" s="759"/>
      <c r="AC192" s="759"/>
      <c r="AD192" s="759"/>
      <c r="AE192" s="759"/>
      <c r="AF192" s="764"/>
      <c r="AG192" s="414"/>
      <c r="AH192" s="414"/>
      <c r="AI192" s="414"/>
      <c r="AJ192" s="414"/>
      <c r="AK192" s="414"/>
      <c r="AL192" s="414"/>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760">
        <f>Y192</f>
        <v>0</v>
      </c>
      <c r="Z193" s="760">
        <f t="shared" si="304" ref="Z193:AF193">Z192</f>
        <v>0</v>
      </c>
      <c r="AA193" s="760">
        <f t="shared" si="304"/>
        <v>0</v>
      </c>
      <c r="AB193" s="760">
        <f t="shared" si="304"/>
        <v>0</v>
      </c>
      <c r="AC193" s="760">
        <f t="shared" si="304"/>
        <v>0</v>
      </c>
      <c r="AD193" s="760">
        <f t="shared" si="304"/>
        <v>0</v>
      </c>
      <c r="AE193" s="760">
        <f t="shared" si="304"/>
        <v>0</v>
      </c>
      <c r="AF193" s="760">
        <f t="shared" si="304"/>
        <v>0</v>
      </c>
      <c r="AG193" s="410">
        <f t="shared" si="305" ref="AG193">AG192</f>
        <v>0</v>
      </c>
      <c r="AH193" s="410">
        <f t="shared" si="306" ref="AH193">AH192</f>
        <v>0</v>
      </c>
      <c r="AI193" s="410">
        <f t="shared" si="307" ref="AI193">AI192</f>
        <v>0</v>
      </c>
      <c r="AJ193" s="410">
        <f t="shared" si="308" ref="AJ193">AJ192</f>
        <v>0</v>
      </c>
      <c r="AK193" s="410">
        <f t="shared" si="309" ref="AK193">AK192</f>
        <v>0</v>
      </c>
      <c r="AL193" s="410">
        <f t="shared" si="310" ref="AL193">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6" t="s">
        <v>271</v>
      </c>
      <c r="C195" s="328"/>
      <c r="D195" s="328">
        <f>SUM(D38:D193)</f>
        <v>6041257.541719052</v>
      </c>
      <c r="E195" s="328"/>
      <c r="F195" s="328"/>
      <c r="G195" s="328"/>
      <c r="H195" s="328"/>
      <c r="I195" s="328"/>
      <c r="J195" s="328"/>
      <c r="K195" s="328"/>
      <c r="L195" s="328"/>
      <c r="M195" s="328"/>
      <c r="N195" s="328"/>
      <c r="O195" s="328">
        <f>SUM(O38:O193)</f>
        <v>798.56601673126579</v>
      </c>
      <c r="P195" s="328"/>
      <c r="Q195" s="328"/>
      <c r="R195" s="328"/>
      <c r="S195" s="328"/>
      <c r="T195" s="328"/>
      <c r="U195" s="328"/>
      <c r="V195" s="328"/>
      <c r="W195" s="328"/>
      <c r="X195" s="328"/>
      <c r="Y195" s="328">
        <f>IF(Y36="kWh",SUMPRODUCT(D38:D193,Y38:Y193))</f>
        <v>1229857</v>
      </c>
      <c r="Z195" s="328">
        <f>IF(Z36="kWh",SUMPRODUCT(D38:D193,Z38:Z193))</f>
        <v>1595265.6812672871</v>
      </c>
      <c r="AA195" s="328">
        <f>IF(AA36="kw",SUMPRODUCT(N38:N193,O38:O193,AA38:AA193),SUMPRODUCT(D38:D193,AA38:AA193))</f>
        <v>2227.7614262558131</v>
      </c>
      <c r="AB195" s="328">
        <f>IF(AB36="kw",SUMPRODUCT(N38:N193,O38:O193,AB38:AB193),SUMPRODUCT(D38:D193,AB38:AB193))</f>
        <v>2295.269348263565</v>
      </c>
      <c r="AC195" s="328">
        <f>IF(AC36="kw",SUMPRODUCT(N38:N193,O38:O193,AC38:AC193),SUMPRODUCT(D38:D193,AC38:AC193))</f>
        <v>0</v>
      </c>
      <c r="AD195" s="328">
        <f>IF(AD36="kw",SUMPRODUCT(N38:N193,O38:O193,AD38:AD193),SUMPRODUCT(D38:D193,AD38:AD193))</f>
        <v>0</v>
      </c>
      <c r="AE195" s="806">
        <f>-'8.  Streetlighting'!G38</f>
        <v>61.430903999999884</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2396997</v>
      </c>
      <c r="Z196" s="391">
        <f>HLOOKUP(Z35,'2. LRAMVA Threshold'!$B$42:$Q$53,7,FALSE)</f>
        <v>619006</v>
      </c>
      <c r="AA196" s="391">
        <f>HLOOKUP(AA35,'2. LRAMVA Threshold'!$B$42:$Q$53,7,FALSE)</f>
        <v>2770</v>
      </c>
      <c r="AB196" s="391">
        <f>HLOOKUP(AB35,'2. LRAMVA Threshold'!$B$42:$Q$53,7,FALSE)</f>
        <v>607</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ht="15.5">
      <c r="B197" s="515"/>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8"/>
      <c r="AG197" s="398"/>
      <c r="AH197" s="398"/>
      <c r="AI197" s="398"/>
      <c r="AJ197" s="398"/>
      <c r="AK197" s="398"/>
      <c r="AL197" s="398"/>
      <c r="AM197" s="399"/>
    </row>
    <row r="198" spans="2:39" ht="15.5">
      <c r="B198" s="323" t="s">
        <v>168</v>
      </c>
      <c r="C198" s="337"/>
      <c r="D198" s="337"/>
      <c r="E198" s="375"/>
      <c r="F198" s="375"/>
      <c r="G198" s="375"/>
      <c r="H198" s="375"/>
      <c r="I198" s="375"/>
      <c r="J198" s="375"/>
      <c r="K198" s="375"/>
      <c r="L198" s="375"/>
      <c r="M198" s="375"/>
      <c r="N198" s="375"/>
      <c r="O198" s="291"/>
      <c r="P198" s="339"/>
      <c r="Q198" s="339"/>
      <c r="R198" s="339"/>
      <c r="S198" s="338"/>
      <c r="T198" s="338"/>
      <c r="U198" s="338"/>
      <c r="V198" s="338"/>
      <c r="W198" s="339"/>
      <c r="X198" s="339"/>
      <c r="Y198" s="340">
        <f>HLOOKUP(Y$35,'3.  Distribution Rates'!$C$122:$P$133,7,FALSE)</f>
        <v>0.011900000000000001</v>
      </c>
      <c r="Z198" s="340">
        <f>HLOOKUP(Z$35,'3.  Distribution Rates'!$C$122:$P$133,7,FALSE)</f>
        <v>0.0085000000000000006</v>
      </c>
      <c r="AA198" s="340">
        <f>HLOOKUP(AA$35,'3.  Distribution Rates'!$C$122:$P$133,7,FALSE)</f>
        <v>3.4379</v>
      </c>
      <c r="AB198" s="340">
        <f>HLOOKUP(AB$35,'3.  Distribution Rates'!$C$122:$P$133,7,FALSE)</f>
        <v>3.1516999999999999</v>
      </c>
      <c r="AC198" s="340">
        <f>HLOOKUP(AC$35,'3.  Distribution Rates'!$C$122:$P$133,7,FALSE)</f>
        <v>0.0044999999999999997</v>
      </c>
      <c r="AD198" s="340">
        <f>HLOOKUP(AD$35,'3.  Distribution Rates'!$C$122:$P$133,7,FALSE)</f>
        <v>19.0608</v>
      </c>
      <c r="AE198" s="340">
        <f>HLOOKUP(AE$35,'3.  Distribution Rates'!$C$122:$P$133,7,FALSE)</f>
        <v>29.902999999999999</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t="15.5">
      <c r="B199" s="323" t="s">
        <v>149</v>
      </c>
      <c r="C199" s="344"/>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7">
        <f>'4.  2011-2014 LRAM'!Y138*Y198</f>
        <v>6788.9115260587078</v>
      </c>
      <c r="Z199" s="377">
        <f>'4.  2011-2014 LRAM'!Z138*Z198</f>
        <v>3238.3499534958169</v>
      </c>
      <c r="AA199" s="377">
        <f>'4.  2011-2014 LRAM'!AA138*AA198</f>
        <v>6112.0489776485956</v>
      </c>
      <c r="AB199" s="377">
        <f>'4.  2011-2014 LRAM'!AB138*AB198</f>
        <v>8.7053865026085084</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2">
        <f>SUM(Y199:AL199)</f>
        <v>16148.015843705729</v>
      </c>
    </row>
    <row r="200" spans="2:39" ht="15.5">
      <c r="B200" s="323" t="s">
        <v>150</v>
      </c>
      <c r="C200" s="344"/>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7">
        <f>'4.  2011-2014 LRAM'!Y267*Y198</f>
        <v>4303.9644880003762</v>
      </c>
      <c r="Z200" s="377">
        <f>'4.  2011-2014 LRAM'!Z267*Z198</f>
        <v>2100.7013108080946</v>
      </c>
      <c r="AA200" s="377">
        <f>'4.  2011-2014 LRAM'!AA267*AA198</f>
        <v>3848.8903186209909</v>
      </c>
      <c r="AB200" s="377">
        <f>'4.  2011-2014 LRAM'!AB267*AB198</f>
        <v>5629.8467260467005</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2">
        <f>SUM(Y200:AL200)</f>
        <v>15883.402843476162</v>
      </c>
    </row>
    <row r="201" spans="2:39" ht="15.5">
      <c r="B201" s="323" t="s">
        <v>151</v>
      </c>
      <c r="C201" s="344"/>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7">
        <f>'4.  2011-2014 LRAM'!Y396*Y198</f>
        <v>4592.4739351893641</v>
      </c>
      <c r="Z201" s="377">
        <f>'4.  2011-2014 LRAM'!Z396*Z198</f>
        <v>7206.4222247937314</v>
      </c>
      <c r="AA201" s="377">
        <f>'4.  2011-2014 LRAM'!AA396*AA198</f>
        <v>5710.0955962967973</v>
      </c>
      <c r="AB201" s="377">
        <f>'4.  2011-2014 LRAM'!AB396*AB198</f>
        <v>935.74651464450233</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2">
        <f>SUM(Y201:AL201)</f>
        <v>18444.738270924394</v>
      </c>
    </row>
    <row r="202" spans="2:39" ht="15.5">
      <c r="B202" s="323" t="s">
        <v>152</v>
      </c>
      <c r="C202" s="344"/>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7">
        <f>'4.  2011-2014 LRAM'!Y526*Y198</f>
        <v>13536.443534099099</v>
      </c>
      <c r="Z202" s="377">
        <f>'4.  2011-2014 LRAM'!Z526*Z198</f>
        <v>4604.4022608550003</v>
      </c>
      <c r="AA202" s="377">
        <f>'4.  2011-2014 LRAM'!AA526*AA198</f>
        <v>8005.6768690200843</v>
      </c>
      <c r="AB202" s="377">
        <f>'4.  2011-2014 LRAM'!AB526*AB198</f>
        <v>1776.6756360145241</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2">
        <f>SUM(Y202:AL202)</f>
        <v>27923.198299988704</v>
      </c>
    </row>
    <row r="203" spans="2:39" ht="15.5">
      <c r="B203" s="323" t="s">
        <v>153</v>
      </c>
      <c r="C203" s="344"/>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7">
        <f>Y195*Y198</f>
        <v>14635.2983</v>
      </c>
      <c r="Z203" s="377">
        <f>Z195*Z198</f>
        <v>13559.758290771941</v>
      </c>
      <c r="AA203" s="377">
        <f>AA195*AA198</f>
        <v>7658.8210073248601</v>
      </c>
      <c r="AB203" s="377">
        <f t="shared" si="311" ref="AB203:AL203">AB195*AB198</f>
        <v>7234.000404922278</v>
      </c>
      <c r="AC203" s="377">
        <f t="shared" si="311"/>
        <v>0</v>
      </c>
      <c r="AD203" s="377">
        <f t="shared" si="311"/>
        <v>0</v>
      </c>
      <c r="AE203" s="377">
        <f t="shared" si="311"/>
        <v>1836.9683223119964</v>
      </c>
      <c r="AF203" s="377">
        <f t="shared" si="311"/>
        <v>0</v>
      </c>
      <c r="AG203" s="377">
        <f t="shared" si="311"/>
        <v>0</v>
      </c>
      <c r="AH203" s="377">
        <f t="shared" si="311"/>
        <v>0</v>
      </c>
      <c r="AI203" s="377">
        <f t="shared" si="311"/>
        <v>0</v>
      </c>
      <c r="AJ203" s="377">
        <f t="shared" si="311"/>
        <v>0</v>
      </c>
      <c r="AK203" s="377">
        <f t="shared" si="311"/>
        <v>0</v>
      </c>
      <c r="AL203" s="377">
        <f t="shared" si="311"/>
        <v>0</v>
      </c>
      <c r="AM203" s="622">
        <f>SUM(Y203:AL203)</f>
        <v>44924.846325331077</v>
      </c>
    </row>
    <row r="204" spans="2:39" ht="15.5">
      <c r="B204" s="348" t="s">
        <v>268</v>
      </c>
      <c r="C204" s="344"/>
      <c r="D204" s="335"/>
      <c r="E204" s="333"/>
      <c r="F204" s="333"/>
      <c r="G204" s="333"/>
      <c r="H204" s="333"/>
      <c r="I204" s="333"/>
      <c r="J204" s="333"/>
      <c r="K204" s="333"/>
      <c r="L204" s="333"/>
      <c r="M204" s="333"/>
      <c r="N204" s="333"/>
      <c r="O204" s="300"/>
      <c r="P204" s="333"/>
      <c r="Q204" s="333"/>
      <c r="R204" s="333"/>
      <c r="S204" s="335"/>
      <c r="T204" s="335"/>
      <c r="U204" s="335"/>
      <c r="V204" s="335"/>
      <c r="W204" s="333"/>
      <c r="X204" s="333"/>
      <c r="Y204" s="345">
        <f>SUM(Y199:Y203)</f>
        <v>43857.091783347547</v>
      </c>
      <c r="Z204" s="345">
        <f>SUM(Z199:Z203)</f>
        <v>30709.634040724584</v>
      </c>
      <c r="AA204" s="345">
        <f t="shared" si="312" ref="AA204:AE204">SUM(AA199:AA203)</f>
        <v>31335.532768911326</v>
      </c>
      <c r="AB204" s="345">
        <f t="shared" si="312"/>
        <v>15584.974668130613</v>
      </c>
      <c r="AC204" s="345">
        <f t="shared" si="312"/>
        <v>0</v>
      </c>
      <c r="AD204" s="345">
        <f t="shared" si="312"/>
        <v>0</v>
      </c>
      <c r="AE204" s="345">
        <f t="shared" si="312"/>
        <v>1836.9683223119964</v>
      </c>
      <c r="AF204" s="345">
        <f>SUM(AF199:AF203)</f>
        <v>0</v>
      </c>
      <c r="AG204" s="345">
        <f>SUM(AG199:AG203)</f>
        <v>0</v>
      </c>
      <c r="AH204" s="345">
        <f t="shared" si="313" ref="AH204:AL204">SUM(AH199:AH203)</f>
        <v>0</v>
      </c>
      <c r="AI204" s="345">
        <f t="shared" si="313"/>
        <v>0</v>
      </c>
      <c r="AJ204" s="345">
        <f t="shared" si="313"/>
        <v>0</v>
      </c>
      <c r="AK204" s="345">
        <f t="shared" si="313"/>
        <v>0</v>
      </c>
      <c r="AL204" s="345">
        <f t="shared" si="313"/>
        <v>0</v>
      </c>
      <c r="AM204" s="406">
        <f>SUM(AM199:AM203)</f>
        <v>123324.20158342607</v>
      </c>
    </row>
    <row r="205" spans="2:39" ht="15.5">
      <c r="B205" s="348" t="s">
        <v>269</v>
      </c>
      <c r="C205" s="344"/>
      <c r="D205" s="349"/>
      <c r="E205" s="333"/>
      <c r="F205" s="333"/>
      <c r="G205" s="333"/>
      <c r="H205" s="333"/>
      <c r="I205" s="333"/>
      <c r="J205" s="333"/>
      <c r="K205" s="333"/>
      <c r="L205" s="333"/>
      <c r="M205" s="333"/>
      <c r="N205" s="333"/>
      <c r="O205" s="300"/>
      <c r="P205" s="333"/>
      <c r="Q205" s="333"/>
      <c r="R205" s="333"/>
      <c r="S205" s="335"/>
      <c r="T205" s="335"/>
      <c r="U205" s="335"/>
      <c r="V205" s="335"/>
      <c r="W205" s="333"/>
      <c r="X205" s="333"/>
      <c r="Y205" s="346">
        <f>Y196*Y198</f>
        <v>28524.264300000003</v>
      </c>
      <c r="Z205" s="346">
        <f t="shared" si="314" ref="Z205:AE205">Z196*Z198</f>
        <v>5261.5510000000004</v>
      </c>
      <c r="AA205" s="346">
        <f t="shared" si="314"/>
        <v>9522.9830000000002</v>
      </c>
      <c r="AB205" s="346">
        <f t="shared" si="314"/>
        <v>1913.0818999999999</v>
      </c>
      <c r="AC205" s="346">
        <f t="shared" si="314"/>
        <v>0</v>
      </c>
      <c r="AD205" s="346">
        <f t="shared" si="314"/>
        <v>0</v>
      </c>
      <c r="AE205" s="346">
        <f t="shared" si="314"/>
        <v>0</v>
      </c>
      <c r="AF205" s="346">
        <f>AF196*AF198</f>
        <v>0</v>
      </c>
      <c r="AG205" s="346">
        <f t="shared" si="315" ref="AG205:AL205">AG196*AG198</f>
        <v>0</v>
      </c>
      <c r="AH205" s="346">
        <f t="shared" si="315"/>
        <v>0</v>
      </c>
      <c r="AI205" s="346">
        <f t="shared" si="315"/>
        <v>0</v>
      </c>
      <c r="AJ205" s="346">
        <f t="shared" si="315"/>
        <v>0</v>
      </c>
      <c r="AK205" s="346">
        <f t="shared" si="315"/>
        <v>0</v>
      </c>
      <c r="AL205" s="346">
        <f t="shared" si="315"/>
        <v>0</v>
      </c>
      <c r="AM205" s="406">
        <f>SUM(Y205:AL205)</f>
        <v>45221.8802</v>
      </c>
    </row>
    <row r="206" spans="2:39" ht="15.5">
      <c r="B206" s="348" t="s">
        <v>270</v>
      </c>
      <c r="C206" s="344"/>
      <c r="D206" s="349"/>
      <c r="E206" s="333"/>
      <c r="F206" s="333"/>
      <c r="G206" s="333"/>
      <c r="H206" s="333"/>
      <c r="I206" s="333"/>
      <c r="J206" s="333"/>
      <c r="K206" s="333"/>
      <c r="L206" s="333"/>
      <c r="M206" s="333"/>
      <c r="N206" s="333"/>
      <c r="O206" s="300"/>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78102.321383426068</v>
      </c>
    </row>
    <row r="207" spans="2:39" ht="15.5">
      <c r="B207" s="323"/>
      <c r="C207" s="349"/>
      <c r="D207" s="349"/>
      <c r="E207" s="333"/>
      <c r="F207" s="333"/>
      <c r="G207" s="333"/>
      <c r="H207" s="333"/>
      <c r="I207" s="333"/>
      <c r="J207" s="333"/>
      <c r="K207" s="333"/>
      <c r="L207" s="333"/>
      <c r="M207" s="333"/>
      <c r="N207" s="333"/>
      <c r="O207" s="300"/>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ht="15.5">
      <c r="B208" s="294" t="s">
        <v>144</v>
      </c>
      <c r="C208" s="304"/>
      <c r="D208" s="279"/>
      <c r="E208" s="279"/>
      <c r="F208" s="279"/>
      <c r="G208" s="279"/>
      <c r="H208" s="279"/>
      <c r="I208" s="279"/>
      <c r="J208" s="279"/>
      <c r="K208" s="279"/>
      <c r="L208" s="279"/>
      <c r="M208" s="279"/>
      <c r="N208" s="279"/>
      <c r="O208" s="356"/>
      <c r="P208" s="279"/>
      <c r="Q208" s="279"/>
      <c r="R208" s="279"/>
      <c r="S208" s="304"/>
      <c r="T208" s="309"/>
      <c r="U208" s="309"/>
      <c r="V208" s="279"/>
      <c r="W208" s="279"/>
      <c r="X208" s="309"/>
      <c r="Y208" s="291">
        <f>SUMPRODUCT(E38:E193,Y38:Y193)</f>
        <v>1216869</v>
      </c>
      <c r="Z208" s="291">
        <f>SUMPRODUCT(E38:E193,Z38:Z193)</f>
        <v>1556608.7850560555</v>
      </c>
      <c r="AA208" s="291">
        <f>IF(AA36="kw",SUMPRODUCT(N38:N193,P38:P193,AA38:AA193),SUMPRODUCT(E38:E193,AA38:AA193))</f>
        <v>2169.5564429482374</v>
      </c>
      <c r="AB208" s="291">
        <f>IF(AB36="kw",SUMPRODUCT(N38:N193,P38:P193,AB38:AB193),SUMPRODUCT(E38:E193,AB38:AB193))</f>
        <v>2235.3005775830325</v>
      </c>
      <c r="AC208" s="291">
        <f>IF(AC36="kw",SUMPRODUCT(N38:N193,P38:P193,AC38:AC193),SUMPRODUCT(E38:E193,AC38:AC193))</f>
        <v>0</v>
      </c>
      <c r="AD208" s="291">
        <f>IF(AD36="kw",SUMPRODUCT(N38:N193,P38:P193,AD38:AD193),SUMPRODUCT(E38:E193,AD38:AD193))</f>
        <v>0</v>
      </c>
      <c r="AE208" s="807">
        <f>'8.  Streetlighting'!G39</f>
        <v>379.75003200000026</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7"/>
    </row>
    <row r="209" spans="2:39" ht="15.5">
      <c r="B209" s="294" t="s">
        <v>145</v>
      </c>
      <c r="C209" s="304"/>
      <c r="D209" s="279"/>
      <c r="E209" s="279"/>
      <c r="F209" s="279"/>
      <c r="G209" s="279"/>
      <c r="H209" s="279"/>
      <c r="I209" s="279"/>
      <c r="J209" s="279"/>
      <c r="K209" s="279"/>
      <c r="L209" s="279"/>
      <c r="M209" s="279"/>
      <c r="N209" s="279"/>
      <c r="O209" s="356"/>
      <c r="P209" s="279"/>
      <c r="Q209" s="279"/>
      <c r="R209" s="279"/>
      <c r="S209" s="304"/>
      <c r="T209" s="309"/>
      <c r="U209" s="309"/>
      <c r="V209" s="279"/>
      <c r="W209" s="279"/>
      <c r="X209" s="309"/>
      <c r="Y209" s="291">
        <f>SUMPRODUCT(F38:F193,Y38:Y193)</f>
        <v>1216869</v>
      </c>
      <c r="Z209" s="291">
        <f>SUMPRODUCT(F38:F193,Z38:Z193)</f>
        <v>1556608.4550560557</v>
      </c>
      <c r="AA209" s="291">
        <f>IF(AA36="kw",SUMPRODUCT(N38:N193,Q38:Q193,AA38:AA193),SUMPRODUCT(F38:F193,AA38:AA193))</f>
        <v>2169.5564429482374</v>
      </c>
      <c r="AB209" s="291">
        <f>IF(AB36="kw",SUMPRODUCT(N38:N193,Q38:Q193,AB38:AB193),SUMPRODUCT(F38:F193,AB38:AB193))</f>
        <v>2235.3005775830325</v>
      </c>
      <c r="AC209" s="291">
        <f>IF(AC36="kw",SUMPRODUCT(N38:N193,Q38:Q193,AC38:AC193),SUMPRODUCT(F38:F193,AC38:AC193))</f>
        <v>0</v>
      </c>
      <c r="AD209" s="291">
        <f>IF(AD36="kw",SUMPRODUCT(N38:N193,Q38:Q193,AD38:AD193),SUMPRODUCT(F38:F193,AD38:AD193))</f>
        <v>0</v>
      </c>
      <c r="AE209" s="807">
        <f>'8.  Streetlighting'!G40</f>
        <v>379.75003200000026</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6"/>
    </row>
    <row r="210" spans="2:39" ht="15.5">
      <c r="B210" s="294" t="s">
        <v>146</v>
      </c>
      <c r="C210" s="304"/>
      <c r="D210" s="279"/>
      <c r="E210" s="279"/>
      <c r="F210" s="279"/>
      <c r="G210" s="279"/>
      <c r="H210" s="279"/>
      <c r="I210" s="279"/>
      <c r="J210" s="279"/>
      <c r="K210" s="279"/>
      <c r="L210" s="279"/>
      <c r="M210" s="279"/>
      <c r="N210" s="279"/>
      <c r="O210" s="356"/>
      <c r="P210" s="279"/>
      <c r="Q210" s="279"/>
      <c r="R210" s="279"/>
      <c r="S210" s="304"/>
      <c r="T210" s="309"/>
      <c r="U210" s="309"/>
      <c r="V210" s="279"/>
      <c r="W210" s="279"/>
      <c r="X210" s="309"/>
      <c r="Y210" s="291">
        <f>SUMPRODUCT(G38:G193,Y38:Y193)</f>
        <v>1216869</v>
      </c>
      <c r="Z210" s="291">
        <f>SUMPRODUCT(G38:G193,Z38:Z193)</f>
        <v>1556703.7850560555</v>
      </c>
      <c r="AA210" s="291">
        <f>IF(AA36="kw",SUMPRODUCT(N38:N193,R38:R193,AA38:AA193),SUMPRODUCT(G38:G193,AA38:AA193))</f>
        <v>2165.5964429482374</v>
      </c>
      <c r="AB210" s="291">
        <f>IF(AB36="kw",SUMPRODUCT(N38:N193,R38:R193,AB38:AB193),SUMPRODUCT(G38:G193,AB38:AB193))</f>
        <v>2231.2205775830325</v>
      </c>
      <c r="AC210" s="291">
        <f>IF(AC36="kw",SUMPRODUCT(N38:N193,R38:R193,AC38:AC193),SUMPRODUCT(G38:G193,AC38:AC193))</f>
        <v>0</v>
      </c>
      <c r="AD210" s="291">
        <f>IF(AD36="kw",SUMPRODUCT(N38:N193,R38:R193,AD38:AD193),SUMPRODUCT(G38:G193,AD38:AD193))</f>
        <v>0</v>
      </c>
      <c r="AE210" s="807">
        <f>'8.  Streetlighting'!G41</f>
        <v>379.75003200000026</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6"/>
    </row>
    <row r="211" spans="2:39" ht="15.5">
      <c r="B211" s="294" t="s">
        <v>147</v>
      </c>
      <c r="C211" s="304"/>
      <c r="D211" s="279"/>
      <c r="E211" s="279"/>
      <c r="F211" s="279"/>
      <c r="G211" s="279"/>
      <c r="H211" s="279"/>
      <c r="I211" s="279"/>
      <c r="J211" s="279"/>
      <c r="K211" s="279"/>
      <c r="L211" s="279"/>
      <c r="M211" s="279"/>
      <c r="N211" s="279"/>
      <c r="O211" s="356"/>
      <c r="P211" s="279"/>
      <c r="Q211" s="279"/>
      <c r="R211" s="279"/>
      <c r="S211" s="304"/>
      <c r="T211" s="309"/>
      <c r="U211" s="309"/>
      <c r="V211" s="279"/>
      <c r="W211" s="279"/>
      <c r="X211" s="309"/>
      <c r="Y211" s="291">
        <f>SUMPRODUCT(H38:H193,Y38:Y193)</f>
        <v>1209426</v>
      </c>
      <c r="Z211" s="291">
        <f>SUMPRODUCT(H38:H193,Z38:Z193)</f>
        <v>1556703.7850560555</v>
      </c>
      <c r="AA211" s="291">
        <f>IF(AA36="kw",SUMPRODUCT(N38:N193,S38:S193,AA38:AA193),SUMPRODUCT(H38:H193,AA38:AA193))</f>
        <v>2165.5964429482374</v>
      </c>
      <c r="AB211" s="291">
        <f>IF(AB36="kw",SUMPRODUCT(N38:N193,S38:S193,AB38:AB193),SUMPRODUCT(H38:H193,AB38:AB193))</f>
        <v>2231.2205775830325</v>
      </c>
      <c r="AC211" s="291">
        <f>IF(AC36="kw",SUMPRODUCT(N38:N193,S38:S193,AC38:AC193),SUMPRODUCT(H38:H193,AC38:AC193))</f>
        <v>0</v>
      </c>
      <c r="AD211" s="291">
        <f>IF(AD36="kw",SUMPRODUCT(N38:N193,S38:S193,AD38:AD193),SUMPRODUCT(H38:H193,AD38:AD193))</f>
        <v>0</v>
      </c>
      <c r="AE211" s="807">
        <f>'8.  Streetlighting'!G42</f>
        <v>379.75003200000026</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6"/>
    </row>
    <row r="212" spans="2:39" ht="15.5">
      <c r="B212" s="434"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1202914</v>
      </c>
      <c r="Z212" s="325">
        <f>SUMPRODUCT(I38:I193,Z38:Z193)</f>
        <v>1482601.2950560555</v>
      </c>
      <c r="AA212" s="325">
        <f>IF(AA36="kw",SUMPRODUCT(N38:N193,T38:T193,AA38:AA193),SUMPRODUCT(I38:I193,AA38:AA193))</f>
        <v>1897.2101634772901</v>
      </c>
      <c r="AB212" s="325">
        <f>IF(AB36="kw",SUMPRODUCT(N38:N193,T38:T193,AB38:AB193),SUMPRODUCT(I38:I193,AB38:AB193))</f>
        <v>1954.7013805523595</v>
      </c>
      <c r="AC212" s="325">
        <f>IF(AC36="kw",SUMPRODUCT(N38:N193,T38:T193,AC38:AC193),SUMPRODUCT(I38:I193,AC38:AC193))</f>
        <v>0</v>
      </c>
      <c r="AD212" s="325">
        <f>IF(AD36="kw",SUMPRODUCT(N38:N193,T38:T193,AD38:AD193),SUMPRODUCT(I38:I193,AD38:AD193))</f>
        <v>0</v>
      </c>
      <c r="AE212" s="808">
        <f>'8.  Streetlighting'!G43</f>
        <v>379.75003200000026</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2:39" ht="20.25" customHeight="1">
      <c r="B213" s="367" t="s">
        <v>586</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2:2" ht="15.5">
      <c r="B214" s="435"/>
    </row>
    <row r="215" spans="2:2" ht="15.5">
      <c r="B215" s="435"/>
    </row>
    <row r="216" spans="2:39" ht="15.5">
      <c r="B216" s="280" t="s">
        <v>273</v>
      </c>
      <c r="C216" s="281"/>
      <c r="D216" s="583" t="s">
        <v>525</v>
      </c>
      <c r="E216" s="253"/>
      <c r="F216" s="583"/>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2:39" ht="34.5" customHeight="1">
      <c r="B217" s="902" t="s">
        <v>211</v>
      </c>
      <c r="C217" s="904" t="s">
        <v>33</v>
      </c>
      <c r="D217" s="284" t="s">
        <v>421</v>
      </c>
      <c r="E217" s="906" t="s">
        <v>209</v>
      </c>
      <c r="F217" s="907"/>
      <c r="G217" s="907"/>
      <c r="H217" s="907"/>
      <c r="I217" s="907"/>
      <c r="J217" s="907"/>
      <c r="K217" s="907"/>
      <c r="L217" s="907"/>
      <c r="M217" s="908"/>
      <c r="N217" s="909" t="s">
        <v>213</v>
      </c>
      <c r="O217" s="284" t="s">
        <v>422</v>
      </c>
      <c r="P217" s="906" t="s">
        <v>212</v>
      </c>
      <c r="Q217" s="907"/>
      <c r="R217" s="907"/>
      <c r="S217" s="907"/>
      <c r="T217" s="907"/>
      <c r="U217" s="907"/>
      <c r="V217" s="907"/>
      <c r="W217" s="907"/>
      <c r="X217" s="908"/>
      <c r="Y217" s="899" t="s">
        <v>243</v>
      </c>
      <c r="Z217" s="900"/>
      <c r="AA217" s="900"/>
      <c r="AB217" s="900"/>
      <c r="AC217" s="900"/>
      <c r="AD217" s="900"/>
      <c r="AE217" s="900"/>
      <c r="AF217" s="900"/>
      <c r="AG217" s="900"/>
      <c r="AH217" s="900"/>
      <c r="AI217" s="900"/>
      <c r="AJ217" s="900"/>
      <c r="AK217" s="900"/>
      <c r="AL217" s="900"/>
      <c r="AM217" s="901"/>
    </row>
    <row r="218" spans="2:39" ht="60.75" customHeight="1">
      <c r="B218" s="903"/>
      <c r="C218" s="905"/>
      <c r="D218" s="285">
        <v>2016</v>
      </c>
      <c r="E218" s="285">
        <v>2017</v>
      </c>
      <c r="F218" s="285">
        <v>2018</v>
      </c>
      <c r="G218" s="285">
        <v>2019</v>
      </c>
      <c r="H218" s="285">
        <v>2020</v>
      </c>
      <c r="I218" s="285">
        <v>2021</v>
      </c>
      <c r="J218" s="285">
        <v>2022</v>
      </c>
      <c r="K218" s="285">
        <v>2023</v>
      </c>
      <c r="L218" s="285">
        <v>2024</v>
      </c>
      <c r="M218" s="285">
        <v>2025</v>
      </c>
      <c r="N218" s="91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50 - 999 kW</v>
      </c>
      <c r="AB218" s="285" t="str">
        <f>'1.  LRAMVA Summary'!G52</f>
        <v>GS 1,000 - 4,999 kW</v>
      </c>
      <c r="AC218" s="285" t="str">
        <f>'1.  LRAMVA Summary'!H52</f>
        <v>USL</v>
      </c>
      <c r="AD218" s="285" t="str">
        <f>'1.  LRAMVA Summary'!I52</f>
        <v>Sentinel Lighting</v>
      </c>
      <c r="AE218" s="285" t="str">
        <f>'1.  LRAMVA Summary'!J52</f>
        <v>Street Lighting</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2:39" ht="15.75" customHeight="1">
      <c r="B219" s="512"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2:39" ht="15.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16">
        <v>1</v>
      </c>
      <c r="B221" s="514" t="s">
        <v>95</v>
      </c>
      <c r="C221" s="291" t="s">
        <v>25</v>
      </c>
      <c r="D221" s="295"/>
      <c r="E221" s="295"/>
      <c r="F221" s="295"/>
      <c r="G221" s="295"/>
      <c r="H221" s="295"/>
      <c r="I221" s="295"/>
      <c r="J221" s="295"/>
      <c r="K221" s="295"/>
      <c r="L221" s="295"/>
      <c r="M221" s="295"/>
      <c r="N221" s="750"/>
      <c r="O221" s="295"/>
      <c r="P221" s="295"/>
      <c r="Q221" s="295"/>
      <c r="R221" s="295"/>
      <c r="S221" s="295"/>
      <c r="T221" s="295"/>
      <c r="U221" s="295"/>
      <c r="V221" s="295"/>
      <c r="W221" s="295"/>
      <c r="X221" s="295"/>
      <c r="Y221" s="759"/>
      <c r="Z221" s="759"/>
      <c r="AA221" s="759"/>
      <c r="AB221" s="759"/>
      <c r="AC221" s="759"/>
      <c r="AD221" s="759"/>
      <c r="AE221" s="759"/>
      <c r="AF221" s="409"/>
      <c r="AG221" s="409"/>
      <c r="AH221" s="409"/>
      <c r="AI221" s="409"/>
      <c r="AJ221" s="409"/>
      <c r="AK221" s="409"/>
      <c r="AL221" s="409"/>
      <c r="AM221" s="296">
        <f>SUM(Y221:AL221)</f>
        <v>0</v>
      </c>
    </row>
    <row r="222" spans="2:39" ht="15.5" outlineLevel="1">
      <c r="B222" s="294" t="s">
        <v>289</v>
      </c>
      <c r="C222" s="291" t="s">
        <v>163</v>
      </c>
      <c r="D222" s="295"/>
      <c r="E222" s="295"/>
      <c r="F222" s="295"/>
      <c r="G222" s="295"/>
      <c r="H222" s="295"/>
      <c r="I222" s="295"/>
      <c r="J222" s="295"/>
      <c r="K222" s="295"/>
      <c r="L222" s="295"/>
      <c r="M222" s="295"/>
      <c r="N222" s="751"/>
      <c r="O222" s="295"/>
      <c r="P222" s="295"/>
      <c r="Q222" s="295"/>
      <c r="R222" s="295"/>
      <c r="S222" s="295"/>
      <c r="T222" s="295"/>
      <c r="U222" s="295"/>
      <c r="V222" s="295"/>
      <c r="W222" s="295"/>
      <c r="X222" s="295"/>
      <c r="Y222" s="760">
        <f>Y221</f>
        <v>0</v>
      </c>
      <c r="Z222" s="760">
        <f t="shared" si="316" ref="Z222:AE222">Z221</f>
        <v>0</v>
      </c>
      <c r="AA222" s="760">
        <f t="shared" si="316"/>
        <v>0</v>
      </c>
      <c r="AB222" s="760">
        <f t="shared" si="316"/>
        <v>0</v>
      </c>
      <c r="AC222" s="760">
        <f t="shared" si="316"/>
        <v>0</v>
      </c>
      <c r="AD222" s="760">
        <f t="shared" si="316"/>
        <v>0</v>
      </c>
      <c r="AE222" s="760">
        <f t="shared" si="316"/>
        <v>0</v>
      </c>
      <c r="AF222" s="410">
        <f t="shared" si="317" ref="AF222">AF221</f>
        <v>0</v>
      </c>
      <c r="AG222" s="410">
        <f t="shared" si="318" ref="AG222">AG221</f>
        <v>0</v>
      </c>
      <c r="AH222" s="410">
        <f t="shared" si="319" ref="AH222">AH221</f>
        <v>0</v>
      </c>
      <c r="AI222" s="410">
        <f t="shared" si="320" ref="AI222">AI221</f>
        <v>0</v>
      </c>
      <c r="AJ222" s="410">
        <f t="shared" si="321" ref="AJ222">AJ221</f>
        <v>0</v>
      </c>
      <c r="AK222" s="410">
        <f t="shared" si="322" ref="AK222">AK221</f>
        <v>0</v>
      </c>
      <c r="AL222" s="410">
        <f t="shared" si="323" ref="AL222">AL221</f>
        <v>0</v>
      </c>
      <c r="AM222" s="297"/>
    </row>
    <row r="223" spans="2:39" ht="15.5" outlineLevel="1">
      <c r="B223" s="298"/>
      <c r="C223" s="299"/>
      <c r="D223" s="752"/>
      <c r="E223" s="752"/>
      <c r="F223" s="752"/>
      <c r="G223" s="752"/>
      <c r="H223" s="752"/>
      <c r="I223" s="752"/>
      <c r="J223" s="752"/>
      <c r="K223" s="752"/>
      <c r="L223" s="752"/>
      <c r="M223" s="752"/>
      <c r="N223" s="758"/>
      <c r="O223" s="752"/>
      <c r="P223" s="752"/>
      <c r="Q223" s="752"/>
      <c r="R223" s="752"/>
      <c r="S223" s="752"/>
      <c r="T223" s="752"/>
      <c r="U223" s="752"/>
      <c r="V223" s="752"/>
      <c r="W223" s="752"/>
      <c r="X223" s="752"/>
      <c r="Y223" s="761"/>
      <c r="Z223" s="762"/>
      <c r="AA223" s="762"/>
      <c r="AB223" s="762"/>
      <c r="AC223" s="762"/>
      <c r="AD223" s="762"/>
      <c r="AE223" s="762"/>
      <c r="AF223" s="412"/>
      <c r="AG223" s="412"/>
      <c r="AH223" s="412"/>
      <c r="AI223" s="412"/>
      <c r="AJ223" s="412"/>
      <c r="AK223" s="412"/>
      <c r="AL223" s="412"/>
      <c r="AM223" s="302"/>
    </row>
    <row r="224" spans="1:39" ht="15.5" outlineLevel="1">
      <c r="A224" s="516">
        <v>2</v>
      </c>
      <c r="B224" s="514" t="s">
        <v>96</v>
      </c>
      <c r="C224" s="291" t="s">
        <v>25</v>
      </c>
      <c r="D224" s="295"/>
      <c r="E224" s="295"/>
      <c r="F224" s="295"/>
      <c r="G224" s="295"/>
      <c r="H224" s="295"/>
      <c r="I224" s="295"/>
      <c r="J224" s="295"/>
      <c r="K224" s="295"/>
      <c r="L224" s="295"/>
      <c r="M224" s="295"/>
      <c r="N224" s="750"/>
      <c r="O224" s="295"/>
      <c r="P224" s="295"/>
      <c r="Q224" s="295"/>
      <c r="R224" s="295"/>
      <c r="S224" s="295"/>
      <c r="T224" s="295"/>
      <c r="U224" s="295"/>
      <c r="V224" s="295"/>
      <c r="W224" s="295"/>
      <c r="X224" s="295"/>
      <c r="Y224" s="759"/>
      <c r="Z224" s="759"/>
      <c r="AA224" s="759"/>
      <c r="AB224" s="759"/>
      <c r="AC224" s="759"/>
      <c r="AD224" s="759"/>
      <c r="AE224" s="759"/>
      <c r="AF224" s="409"/>
      <c r="AG224" s="409"/>
      <c r="AH224" s="409"/>
      <c r="AI224" s="409"/>
      <c r="AJ224" s="409"/>
      <c r="AK224" s="409"/>
      <c r="AL224" s="409"/>
      <c r="AM224" s="296">
        <f>SUM(Y224:AL224)</f>
        <v>0</v>
      </c>
    </row>
    <row r="225" spans="2:39" ht="15.5" outlineLevel="1">
      <c r="B225" s="294" t="s">
        <v>289</v>
      </c>
      <c r="C225" s="291" t="s">
        <v>163</v>
      </c>
      <c r="D225" s="295"/>
      <c r="E225" s="295"/>
      <c r="F225" s="295"/>
      <c r="G225" s="295"/>
      <c r="H225" s="295"/>
      <c r="I225" s="295"/>
      <c r="J225" s="295"/>
      <c r="K225" s="295"/>
      <c r="L225" s="295"/>
      <c r="M225" s="295"/>
      <c r="N225" s="751"/>
      <c r="O225" s="295"/>
      <c r="P225" s="295"/>
      <c r="Q225" s="295"/>
      <c r="R225" s="295"/>
      <c r="S225" s="295"/>
      <c r="T225" s="295"/>
      <c r="U225" s="295"/>
      <c r="V225" s="295"/>
      <c r="W225" s="295"/>
      <c r="X225" s="295"/>
      <c r="Y225" s="760">
        <f>Y224</f>
        <v>0</v>
      </c>
      <c r="Z225" s="760">
        <f t="shared" si="324" ref="Z225:AE225">Z224</f>
        <v>0</v>
      </c>
      <c r="AA225" s="760">
        <f t="shared" si="324"/>
        <v>0</v>
      </c>
      <c r="AB225" s="760">
        <f t="shared" si="324"/>
        <v>0</v>
      </c>
      <c r="AC225" s="760">
        <f t="shared" si="324"/>
        <v>0</v>
      </c>
      <c r="AD225" s="760">
        <f t="shared" si="324"/>
        <v>0</v>
      </c>
      <c r="AE225" s="760">
        <f t="shared" si="324"/>
        <v>0</v>
      </c>
      <c r="AF225" s="410">
        <f t="shared" si="325" ref="AF225">AF224</f>
        <v>0</v>
      </c>
      <c r="AG225" s="410">
        <f t="shared" si="326" ref="AG225">AG224</f>
        <v>0</v>
      </c>
      <c r="AH225" s="410">
        <f t="shared" si="327" ref="AH225">AH224</f>
        <v>0</v>
      </c>
      <c r="AI225" s="410">
        <f t="shared" si="328" ref="AI225">AI224</f>
        <v>0</v>
      </c>
      <c r="AJ225" s="410">
        <f t="shared" si="329" ref="AJ225">AJ224</f>
        <v>0</v>
      </c>
      <c r="AK225" s="410">
        <f t="shared" si="330" ref="AK225">AK224</f>
        <v>0</v>
      </c>
      <c r="AL225" s="410">
        <f t="shared" si="331" ref="AL225">AL224</f>
        <v>0</v>
      </c>
      <c r="AM225" s="297"/>
    </row>
    <row r="226" spans="2:39" ht="15.5" outlineLevel="1">
      <c r="B226" s="298"/>
      <c r="C226" s="299"/>
      <c r="D226" s="753"/>
      <c r="E226" s="753"/>
      <c r="F226" s="753"/>
      <c r="G226" s="753"/>
      <c r="H226" s="753"/>
      <c r="I226" s="753"/>
      <c r="J226" s="753"/>
      <c r="K226" s="753"/>
      <c r="L226" s="753"/>
      <c r="M226" s="753"/>
      <c r="N226" s="758"/>
      <c r="O226" s="753"/>
      <c r="P226" s="753"/>
      <c r="Q226" s="753"/>
      <c r="R226" s="753"/>
      <c r="S226" s="753"/>
      <c r="T226" s="753"/>
      <c r="U226" s="753"/>
      <c r="V226" s="753"/>
      <c r="W226" s="753"/>
      <c r="X226" s="753"/>
      <c r="Y226" s="761"/>
      <c r="Z226" s="762"/>
      <c r="AA226" s="762"/>
      <c r="AB226" s="762"/>
      <c r="AC226" s="762"/>
      <c r="AD226" s="762"/>
      <c r="AE226" s="762"/>
      <c r="AF226" s="412"/>
      <c r="AG226" s="412"/>
      <c r="AH226" s="412"/>
      <c r="AI226" s="412"/>
      <c r="AJ226" s="412"/>
      <c r="AK226" s="412"/>
      <c r="AL226" s="412"/>
      <c r="AM226" s="302"/>
    </row>
    <row r="227" spans="1:39" ht="15.5" outlineLevel="1">
      <c r="A227" s="516">
        <v>3</v>
      </c>
      <c r="B227" s="514" t="s">
        <v>97</v>
      </c>
      <c r="C227" s="291" t="s">
        <v>25</v>
      </c>
      <c r="D227" s="295"/>
      <c r="E227" s="295"/>
      <c r="F227" s="295"/>
      <c r="G227" s="295"/>
      <c r="H227" s="295"/>
      <c r="I227" s="295"/>
      <c r="J227" s="295"/>
      <c r="K227" s="295"/>
      <c r="L227" s="295"/>
      <c r="M227" s="295"/>
      <c r="N227" s="750"/>
      <c r="O227" s="295"/>
      <c r="P227" s="295"/>
      <c r="Q227" s="295"/>
      <c r="R227" s="295"/>
      <c r="S227" s="295"/>
      <c r="T227" s="295"/>
      <c r="U227" s="295"/>
      <c r="V227" s="295"/>
      <c r="W227" s="295"/>
      <c r="X227" s="295"/>
      <c r="Y227" s="759"/>
      <c r="Z227" s="759"/>
      <c r="AA227" s="759"/>
      <c r="AB227" s="759"/>
      <c r="AC227" s="759"/>
      <c r="AD227" s="759"/>
      <c r="AE227" s="759"/>
      <c r="AF227" s="409"/>
      <c r="AG227" s="409"/>
      <c r="AH227" s="409"/>
      <c r="AI227" s="409"/>
      <c r="AJ227" s="409"/>
      <c r="AK227" s="409"/>
      <c r="AL227" s="409"/>
      <c r="AM227" s="296">
        <f>SUM(Y227:AL227)</f>
        <v>0</v>
      </c>
    </row>
    <row r="228" spans="2:39" ht="15.5" outlineLevel="1">
      <c r="B228" s="294" t="s">
        <v>289</v>
      </c>
      <c r="C228" s="291" t="s">
        <v>163</v>
      </c>
      <c r="D228" s="295"/>
      <c r="E228" s="295"/>
      <c r="F228" s="295"/>
      <c r="G228" s="295"/>
      <c r="H228" s="295"/>
      <c r="I228" s="295"/>
      <c r="J228" s="295"/>
      <c r="K228" s="295"/>
      <c r="L228" s="295"/>
      <c r="M228" s="295"/>
      <c r="N228" s="751"/>
      <c r="O228" s="295"/>
      <c r="P228" s="295"/>
      <c r="Q228" s="295"/>
      <c r="R228" s="295"/>
      <c r="S228" s="295"/>
      <c r="T228" s="295"/>
      <c r="U228" s="295"/>
      <c r="V228" s="295"/>
      <c r="W228" s="295"/>
      <c r="X228" s="295"/>
      <c r="Y228" s="760">
        <f>Y227</f>
        <v>0</v>
      </c>
      <c r="Z228" s="760">
        <f t="shared" si="332" ref="Z228:AE228">Z227</f>
        <v>0</v>
      </c>
      <c r="AA228" s="760">
        <f t="shared" si="332"/>
        <v>0</v>
      </c>
      <c r="AB228" s="760">
        <f t="shared" si="332"/>
        <v>0</v>
      </c>
      <c r="AC228" s="760">
        <f t="shared" si="332"/>
        <v>0</v>
      </c>
      <c r="AD228" s="760">
        <f t="shared" si="332"/>
        <v>0</v>
      </c>
      <c r="AE228" s="760">
        <f t="shared" si="332"/>
        <v>0</v>
      </c>
      <c r="AF228" s="410">
        <f t="shared" si="333" ref="AF228">AF227</f>
        <v>0</v>
      </c>
      <c r="AG228" s="410">
        <f t="shared" si="334" ref="AG228">AG227</f>
        <v>0</v>
      </c>
      <c r="AH228" s="410">
        <f t="shared" si="335" ref="AH228">AH227</f>
        <v>0</v>
      </c>
      <c r="AI228" s="410">
        <f t="shared" si="336" ref="AI228">AI227</f>
        <v>0</v>
      </c>
      <c r="AJ228" s="410">
        <f t="shared" si="337" ref="AJ228">AJ227</f>
        <v>0</v>
      </c>
      <c r="AK228" s="410">
        <f t="shared" si="338" ref="AK228">AK227</f>
        <v>0</v>
      </c>
      <c r="AL228" s="410">
        <f t="shared" si="339" ref="AL228">AL227</f>
        <v>0</v>
      </c>
      <c r="AM228" s="297"/>
    </row>
    <row r="229" spans="2:39" ht="15.5" outlineLevel="1">
      <c r="B229" s="294"/>
      <c r="C229" s="305"/>
      <c r="D229" s="750"/>
      <c r="E229" s="750"/>
      <c r="F229" s="750"/>
      <c r="G229" s="750"/>
      <c r="H229" s="750"/>
      <c r="I229" s="750"/>
      <c r="J229" s="750"/>
      <c r="K229" s="750"/>
      <c r="L229" s="750"/>
      <c r="M229" s="750"/>
      <c r="N229" s="750"/>
      <c r="O229" s="750"/>
      <c r="P229" s="750"/>
      <c r="Q229" s="750"/>
      <c r="R229" s="750"/>
      <c r="S229" s="750"/>
      <c r="T229" s="750"/>
      <c r="U229" s="750"/>
      <c r="V229" s="750"/>
      <c r="W229" s="750"/>
      <c r="X229" s="750"/>
      <c r="Y229" s="761"/>
      <c r="Z229" s="761"/>
      <c r="AA229" s="761"/>
      <c r="AB229" s="761"/>
      <c r="AC229" s="761"/>
      <c r="AD229" s="761"/>
      <c r="AE229" s="761"/>
      <c r="AF229" s="411"/>
      <c r="AG229" s="411"/>
      <c r="AH229" s="411"/>
      <c r="AI229" s="411"/>
      <c r="AJ229" s="411"/>
      <c r="AK229" s="411"/>
      <c r="AL229" s="411"/>
      <c r="AM229" s="306"/>
    </row>
    <row r="230" spans="1:39" ht="15.5" outlineLevel="1">
      <c r="A230" s="516">
        <v>4</v>
      </c>
      <c r="B230" s="514" t="s">
        <v>676</v>
      </c>
      <c r="C230" s="291" t="s">
        <v>25</v>
      </c>
      <c r="D230" s="295"/>
      <c r="E230" s="295"/>
      <c r="F230" s="295"/>
      <c r="G230" s="295"/>
      <c r="H230" s="295"/>
      <c r="I230" s="295"/>
      <c r="J230" s="295"/>
      <c r="K230" s="295"/>
      <c r="L230" s="295"/>
      <c r="M230" s="295"/>
      <c r="N230" s="750"/>
      <c r="O230" s="295"/>
      <c r="P230" s="295"/>
      <c r="Q230" s="295"/>
      <c r="R230" s="295"/>
      <c r="S230" s="295"/>
      <c r="T230" s="295"/>
      <c r="U230" s="295"/>
      <c r="V230" s="295"/>
      <c r="W230" s="295"/>
      <c r="X230" s="295"/>
      <c r="Y230" s="759"/>
      <c r="Z230" s="759"/>
      <c r="AA230" s="759"/>
      <c r="AB230" s="759"/>
      <c r="AC230" s="759"/>
      <c r="AD230" s="759"/>
      <c r="AE230" s="759"/>
      <c r="AF230" s="409"/>
      <c r="AG230" s="409"/>
      <c r="AH230" s="409"/>
      <c r="AI230" s="409"/>
      <c r="AJ230" s="409"/>
      <c r="AK230" s="409"/>
      <c r="AL230" s="409"/>
      <c r="AM230" s="296">
        <f>SUM(Y230:AL230)</f>
        <v>0</v>
      </c>
    </row>
    <row r="231" spans="2:39" ht="15.5" outlineLevel="1">
      <c r="B231" s="294" t="s">
        <v>289</v>
      </c>
      <c r="C231" s="291" t="s">
        <v>163</v>
      </c>
      <c r="D231" s="295"/>
      <c r="E231" s="295"/>
      <c r="F231" s="295"/>
      <c r="G231" s="295"/>
      <c r="H231" s="295"/>
      <c r="I231" s="295"/>
      <c r="J231" s="295"/>
      <c r="K231" s="295"/>
      <c r="L231" s="295"/>
      <c r="M231" s="295"/>
      <c r="N231" s="751"/>
      <c r="O231" s="295"/>
      <c r="P231" s="295"/>
      <c r="Q231" s="295"/>
      <c r="R231" s="295"/>
      <c r="S231" s="295"/>
      <c r="T231" s="295"/>
      <c r="U231" s="295"/>
      <c r="V231" s="295"/>
      <c r="W231" s="295"/>
      <c r="X231" s="295"/>
      <c r="Y231" s="760">
        <f>Y230</f>
        <v>0</v>
      </c>
      <c r="Z231" s="760">
        <f t="shared" si="340" ref="Z231:AE231">Z230</f>
        <v>0</v>
      </c>
      <c r="AA231" s="760">
        <f t="shared" si="340"/>
        <v>0</v>
      </c>
      <c r="AB231" s="760">
        <f t="shared" si="340"/>
        <v>0</v>
      </c>
      <c r="AC231" s="760">
        <f t="shared" si="340"/>
        <v>0</v>
      </c>
      <c r="AD231" s="760">
        <f t="shared" si="340"/>
        <v>0</v>
      </c>
      <c r="AE231" s="760">
        <f t="shared" si="340"/>
        <v>0</v>
      </c>
      <c r="AF231" s="410">
        <f t="shared" si="341" ref="AF231">AF230</f>
        <v>0</v>
      </c>
      <c r="AG231" s="410">
        <f t="shared" si="342" ref="AG231">AG230</f>
        <v>0</v>
      </c>
      <c r="AH231" s="410">
        <f t="shared" si="343" ref="AH231">AH230</f>
        <v>0</v>
      </c>
      <c r="AI231" s="410">
        <f t="shared" si="344" ref="AI231">AI230</f>
        <v>0</v>
      </c>
      <c r="AJ231" s="410">
        <f t="shared" si="345" ref="AJ231">AJ230</f>
        <v>0</v>
      </c>
      <c r="AK231" s="410">
        <f t="shared" si="346" ref="AK231">AK230</f>
        <v>0</v>
      </c>
      <c r="AL231" s="410">
        <f t="shared" si="347" ref="AL231">AL230</f>
        <v>0</v>
      </c>
      <c r="AM231" s="297"/>
    </row>
    <row r="232" spans="2:39" ht="15.5" outlineLevel="1">
      <c r="B232" s="294"/>
      <c r="C232" s="305"/>
      <c r="D232" s="753"/>
      <c r="E232" s="753"/>
      <c r="F232" s="753"/>
      <c r="G232" s="753"/>
      <c r="H232" s="753"/>
      <c r="I232" s="753"/>
      <c r="J232" s="753"/>
      <c r="K232" s="753"/>
      <c r="L232" s="753"/>
      <c r="M232" s="753"/>
      <c r="N232" s="750"/>
      <c r="O232" s="753"/>
      <c r="P232" s="753"/>
      <c r="Q232" s="753"/>
      <c r="R232" s="753"/>
      <c r="S232" s="753"/>
      <c r="T232" s="753"/>
      <c r="U232" s="753"/>
      <c r="V232" s="753"/>
      <c r="W232" s="753"/>
      <c r="X232" s="753"/>
      <c r="Y232" s="761"/>
      <c r="Z232" s="761"/>
      <c r="AA232" s="761"/>
      <c r="AB232" s="761"/>
      <c r="AC232" s="761"/>
      <c r="AD232" s="761"/>
      <c r="AE232" s="761"/>
      <c r="AF232" s="411"/>
      <c r="AG232" s="411"/>
      <c r="AH232" s="411"/>
      <c r="AI232" s="411"/>
      <c r="AJ232" s="411"/>
      <c r="AK232" s="411"/>
      <c r="AL232" s="411"/>
      <c r="AM232" s="306"/>
    </row>
    <row r="233" spans="1:39" ht="31" outlineLevel="1">
      <c r="A233" s="516">
        <v>5</v>
      </c>
      <c r="B233" s="514" t="s">
        <v>98</v>
      </c>
      <c r="C233" s="291" t="s">
        <v>25</v>
      </c>
      <c r="D233" s="295"/>
      <c r="E233" s="295"/>
      <c r="F233" s="295"/>
      <c r="G233" s="295"/>
      <c r="H233" s="295"/>
      <c r="I233" s="295"/>
      <c r="J233" s="295"/>
      <c r="K233" s="295"/>
      <c r="L233" s="295"/>
      <c r="M233" s="295"/>
      <c r="N233" s="750"/>
      <c r="O233" s="295"/>
      <c r="P233" s="295"/>
      <c r="Q233" s="295"/>
      <c r="R233" s="295"/>
      <c r="S233" s="295"/>
      <c r="T233" s="295"/>
      <c r="U233" s="295"/>
      <c r="V233" s="295"/>
      <c r="W233" s="295"/>
      <c r="X233" s="295"/>
      <c r="Y233" s="759"/>
      <c r="Z233" s="759"/>
      <c r="AA233" s="759"/>
      <c r="AB233" s="759"/>
      <c r="AC233" s="759"/>
      <c r="AD233" s="759"/>
      <c r="AE233" s="759"/>
      <c r="AF233" s="409"/>
      <c r="AG233" s="409"/>
      <c r="AH233" s="409"/>
      <c r="AI233" s="409"/>
      <c r="AJ233" s="409"/>
      <c r="AK233" s="409"/>
      <c r="AL233" s="409"/>
      <c r="AM233" s="296">
        <f>SUM(Y233:AL233)</f>
        <v>0</v>
      </c>
    </row>
    <row r="234" spans="2:39" ht="15.5" outlineLevel="1">
      <c r="B234" s="294" t="s">
        <v>289</v>
      </c>
      <c r="C234" s="291" t="s">
        <v>163</v>
      </c>
      <c r="D234" s="295"/>
      <c r="E234" s="295"/>
      <c r="F234" s="295"/>
      <c r="G234" s="295"/>
      <c r="H234" s="295"/>
      <c r="I234" s="295"/>
      <c r="J234" s="295"/>
      <c r="K234" s="295"/>
      <c r="L234" s="295"/>
      <c r="M234" s="295"/>
      <c r="N234" s="751"/>
      <c r="O234" s="295"/>
      <c r="P234" s="295"/>
      <c r="Q234" s="295"/>
      <c r="R234" s="295"/>
      <c r="S234" s="295"/>
      <c r="T234" s="295"/>
      <c r="U234" s="295"/>
      <c r="V234" s="295"/>
      <c r="W234" s="295"/>
      <c r="X234" s="295"/>
      <c r="Y234" s="760">
        <f>Y233</f>
        <v>0</v>
      </c>
      <c r="Z234" s="760">
        <f t="shared" si="348" ref="Z234:AE234">Z233</f>
        <v>0</v>
      </c>
      <c r="AA234" s="760">
        <f t="shared" si="348"/>
        <v>0</v>
      </c>
      <c r="AB234" s="760">
        <f t="shared" si="348"/>
        <v>0</v>
      </c>
      <c r="AC234" s="760">
        <f t="shared" si="348"/>
        <v>0</v>
      </c>
      <c r="AD234" s="760">
        <f t="shared" si="348"/>
        <v>0</v>
      </c>
      <c r="AE234" s="760">
        <f t="shared" si="348"/>
        <v>0</v>
      </c>
      <c r="AF234" s="410">
        <f t="shared" si="349" ref="AF234">AF233</f>
        <v>0</v>
      </c>
      <c r="AG234" s="410">
        <f t="shared" si="350" ref="AG234">AG233</f>
        <v>0</v>
      </c>
      <c r="AH234" s="410">
        <f t="shared" si="351" ref="AH234">AH233</f>
        <v>0</v>
      </c>
      <c r="AI234" s="410">
        <f t="shared" si="352" ref="AI234">AI233</f>
        <v>0</v>
      </c>
      <c r="AJ234" s="410">
        <f t="shared" si="353" ref="AJ234">AJ233</f>
        <v>0</v>
      </c>
      <c r="AK234" s="410">
        <f t="shared" si="354" ref="AK234">AK233</f>
        <v>0</v>
      </c>
      <c r="AL234" s="410">
        <f t="shared" si="355" ref="AL234">AL233</f>
        <v>0</v>
      </c>
      <c r="AM234" s="297"/>
    </row>
    <row r="235" spans="2:39" ht="15.5" outlineLevel="1">
      <c r="B235" s="294"/>
      <c r="C235" s="291"/>
      <c r="D235" s="750"/>
      <c r="E235" s="750"/>
      <c r="F235" s="750"/>
      <c r="G235" s="750"/>
      <c r="H235" s="750"/>
      <c r="I235" s="750"/>
      <c r="J235" s="750"/>
      <c r="K235" s="750"/>
      <c r="L235" s="750"/>
      <c r="M235" s="750"/>
      <c r="N235" s="750"/>
      <c r="O235" s="750"/>
      <c r="P235" s="750"/>
      <c r="Q235" s="750"/>
      <c r="R235" s="750"/>
      <c r="S235" s="750"/>
      <c r="T235" s="750"/>
      <c r="U235" s="750"/>
      <c r="V235" s="750"/>
      <c r="W235" s="750"/>
      <c r="X235" s="750"/>
      <c r="Y235" s="771"/>
      <c r="Z235" s="772"/>
      <c r="AA235" s="772"/>
      <c r="AB235" s="772"/>
      <c r="AC235" s="772"/>
      <c r="AD235" s="772"/>
      <c r="AE235" s="772"/>
      <c r="AF235" s="420"/>
      <c r="AG235" s="420"/>
      <c r="AH235" s="420"/>
      <c r="AI235" s="420"/>
      <c r="AJ235" s="420"/>
      <c r="AK235" s="420"/>
      <c r="AL235" s="420"/>
      <c r="AM235" s="297"/>
    </row>
    <row r="236" spans="2:39" ht="15.5" outlineLevel="1">
      <c r="B236" s="318" t="s">
        <v>497</v>
      </c>
      <c r="C236" s="289"/>
      <c r="D236" s="754"/>
      <c r="E236" s="754"/>
      <c r="F236" s="754"/>
      <c r="G236" s="754"/>
      <c r="H236" s="754"/>
      <c r="I236" s="754"/>
      <c r="J236" s="754"/>
      <c r="K236" s="754"/>
      <c r="L236" s="754"/>
      <c r="M236" s="754"/>
      <c r="N236" s="756"/>
      <c r="O236" s="754"/>
      <c r="P236" s="754"/>
      <c r="Q236" s="754"/>
      <c r="R236" s="754"/>
      <c r="S236" s="754"/>
      <c r="T236" s="754"/>
      <c r="U236" s="754"/>
      <c r="V236" s="754"/>
      <c r="W236" s="754"/>
      <c r="X236" s="754"/>
      <c r="Y236" s="763"/>
      <c r="Z236" s="763"/>
      <c r="AA236" s="763"/>
      <c r="AB236" s="763"/>
      <c r="AC236" s="763"/>
      <c r="AD236" s="763"/>
      <c r="AE236" s="763"/>
      <c r="AF236" s="413"/>
      <c r="AG236" s="413"/>
      <c r="AH236" s="413"/>
      <c r="AI236" s="413"/>
      <c r="AJ236" s="413"/>
      <c r="AK236" s="413"/>
      <c r="AL236" s="413"/>
      <c r="AM236" s="292"/>
    </row>
    <row r="237" spans="1:39" ht="15.5" outlineLevel="1">
      <c r="A237" s="516">
        <v>6</v>
      </c>
      <c r="B237" s="514"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764"/>
      <c r="Z237" s="759"/>
      <c r="AA237" s="759"/>
      <c r="AB237" s="759"/>
      <c r="AC237" s="759"/>
      <c r="AD237" s="759"/>
      <c r="AE237" s="759"/>
      <c r="AF237" s="414"/>
      <c r="AG237" s="414"/>
      <c r="AH237" s="414"/>
      <c r="AI237" s="414"/>
      <c r="AJ237" s="414"/>
      <c r="AK237" s="414"/>
      <c r="AL237" s="414"/>
      <c r="AM237" s="296">
        <f>SUM(Y237:AL237)</f>
        <v>0</v>
      </c>
    </row>
    <row r="238" spans="2:39" ht="15.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760">
        <f>Y237</f>
        <v>0</v>
      </c>
      <c r="Z238" s="760">
        <f t="shared" si="356" ref="Z238:AE238">Z237</f>
        <v>0</v>
      </c>
      <c r="AA238" s="760">
        <f t="shared" si="356"/>
        <v>0</v>
      </c>
      <c r="AB238" s="760">
        <f t="shared" si="356"/>
        <v>0</v>
      </c>
      <c r="AC238" s="760">
        <f t="shared" si="356"/>
        <v>0</v>
      </c>
      <c r="AD238" s="760">
        <f t="shared" si="356"/>
        <v>0</v>
      </c>
      <c r="AE238" s="760">
        <f t="shared" si="356"/>
        <v>0</v>
      </c>
      <c r="AF238" s="410">
        <f t="shared" si="357" ref="AF238">AF237</f>
        <v>0</v>
      </c>
      <c r="AG238" s="410">
        <f t="shared" si="358" ref="AG238">AG237</f>
        <v>0</v>
      </c>
      <c r="AH238" s="410">
        <f t="shared" si="359" ref="AH238">AH237</f>
        <v>0</v>
      </c>
      <c r="AI238" s="410">
        <f t="shared" si="360" ref="AI238">AI237</f>
        <v>0</v>
      </c>
      <c r="AJ238" s="410">
        <f t="shared" si="361" ref="AJ238">AJ237</f>
        <v>0</v>
      </c>
      <c r="AK238" s="410">
        <f t="shared" si="362" ref="AK238">AK237</f>
        <v>0</v>
      </c>
      <c r="AL238" s="410">
        <f t="shared" si="363" ref="AL238">AL237</f>
        <v>0</v>
      </c>
      <c r="AM238" s="311"/>
    </row>
    <row r="239" spans="2:39" ht="15.5" outlineLevel="1">
      <c r="B239" s="310"/>
      <c r="C239" s="312"/>
      <c r="D239" s="750"/>
      <c r="E239" s="750"/>
      <c r="F239" s="750"/>
      <c r="G239" s="750"/>
      <c r="H239" s="750"/>
      <c r="I239" s="750"/>
      <c r="J239" s="750"/>
      <c r="K239" s="750"/>
      <c r="L239" s="750"/>
      <c r="M239" s="750"/>
      <c r="N239" s="750"/>
      <c r="O239" s="750"/>
      <c r="P239" s="750"/>
      <c r="Q239" s="750"/>
      <c r="R239" s="750"/>
      <c r="S239" s="750"/>
      <c r="T239" s="750"/>
      <c r="U239" s="750"/>
      <c r="V239" s="750"/>
      <c r="W239" s="750"/>
      <c r="X239" s="750"/>
      <c r="Y239" s="765"/>
      <c r="Z239" s="765"/>
      <c r="AA239" s="765"/>
      <c r="AB239" s="765"/>
      <c r="AC239" s="765"/>
      <c r="AD239" s="765"/>
      <c r="AE239" s="765"/>
      <c r="AF239" s="415"/>
      <c r="AG239" s="415"/>
      <c r="AH239" s="415"/>
      <c r="AI239" s="415"/>
      <c r="AJ239" s="415"/>
      <c r="AK239" s="415"/>
      <c r="AL239" s="415"/>
      <c r="AM239" s="313"/>
    </row>
    <row r="240" spans="1:39" ht="31" outlineLevel="1">
      <c r="A240" s="516">
        <v>7</v>
      </c>
      <c r="B240" s="514"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764"/>
      <c r="Z240" s="759"/>
      <c r="AA240" s="759"/>
      <c r="AB240" s="759"/>
      <c r="AC240" s="759"/>
      <c r="AD240" s="759"/>
      <c r="AE240" s="759"/>
      <c r="AF240" s="414"/>
      <c r="AG240" s="414"/>
      <c r="AH240" s="414"/>
      <c r="AI240" s="414"/>
      <c r="AJ240" s="414"/>
      <c r="AK240" s="414"/>
      <c r="AL240" s="414"/>
      <c r="AM240" s="296">
        <f>SUM(Y240:AL240)</f>
        <v>0</v>
      </c>
    </row>
    <row r="241" spans="2:39" ht="15.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760">
        <f>Y240</f>
        <v>0</v>
      </c>
      <c r="Z241" s="760">
        <f t="shared" si="364" ref="Z241:AE241">Z240</f>
        <v>0</v>
      </c>
      <c r="AA241" s="760">
        <f t="shared" si="364"/>
        <v>0</v>
      </c>
      <c r="AB241" s="760">
        <f t="shared" si="364"/>
        <v>0</v>
      </c>
      <c r="AC241" s="760">
        <f t="shared" si="364"/>
        <v>0</v>
      </c>
      <c r="AD241" s="760">
        <f t="shared" si="364"/>
        <v>0</v>
      </c>
      <c r="AE241" s="760">
        <f t="shared" si="364"/>
        <v>0</v>
      </c>
      <c r="AF241" s="410">
        <f t="shared" si="365" ref="AF241">AF240</f>
        <v>0</v>
      </c>
      <c r="AG241" s="410">
        <f t="shared" si="366" ref="AG241">AG240</f>
        <v>0</v>
      </c>
      <c r="AH241" s="410">
        <f t="shared" si="367" ref="AH241">AH240</f>
        <v>0</v>
      </c>
      <c r="AI241" s="410">
        <f t="shared" si="368" ref="AI241">AI240</f>
        <v>0</v>
      </c>
      <c r="AJ241" s="410">
        <f t="shared" si="369" ref="AJ241">AJ240</f>
        <v>0</v>
      </c>
      <c r="AK241" s="410">
        <f t="shared" si="370" ref="AK241">AK240</f>
        <v>0</v>
      </c>
      <c r="AL241" s="410">
        <f t="shared" si="371" ref="AL241">AL240</f>
        <v>0</v>
      </c>
      <c r="AM241" s="311"/>
    </row>
    <row r="242" spans="2:39" ht="15.5" outlineLevel="1">
      <c r="B242" s="314"/>
      <c r="C242" s="312"/>
      <c r="D242" s="750"/>
      <c r="E242" s="750"/>
      <c r="F242" s="750"/>
      <c r="G242" s="750"/>
      <c r="H242" s="750"/>
      <c r="I242" s="750"/>
      <c r="J242" s="750"/>
      <c r="K242" s="750"/>
      <c r="L242" s="750"/>
      <c r="M242" s="750"/>
      <c r="N242" s="750"/>
      <c r="O242" s="750"/>
      <c r="P242" s="750"/>
      <c r="Q242" s="750"/>
      <c r="R242" s="750"/>
      <c r="S242" s="750"/>
      <c r="T242" s="750"/>
      <c r="U242" s="750"/>
      <c r="V242" s="750"/>
      <c r="W242" s="750"/>
      <c r="X242" s="750"/>
      <c r="Y242" s="765"/>
      <c r="Z242" s="766"/>
      <c r="AA242" s="765"/>
      <c r="AB242" s="765"/>
      <c r="AC242" s="765"/>
      <c r="AD242" s="765"/>
      <c r="AE242" s="765"/>
      <c r="AF242" s="415"/>
      <c r="AG242" s="415"/>
      <c r="AH242" s="415"/>
      <c r="AI242" s="415"/>
      <c r="AJ242" s="415"/>
      <c r="AK242" s="415"/>
      <c r="AL242" s="415"/>
      <c r="AM242" s="313"/>
    </row>
    <row r="243" spans="1:39" ht="31" outlineLevel="1">
      <c r="A243" s="516">
        <v>8</v>
      </c>
      <c r="B243" s="514"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764"/>
      <c r="Z243" s="759"/>
      <c r="AA243" s="759"/>
      <c r="AB243" s="759"/>
      <c r="AC243" s="759"/>
      <c r="AD243" s="759"/>
      <c r="AE243" s="759"/>
      <c r="AF243" s="414"/>
      <c r="AG243" s="414"/>
      <c r="AH243" s="414"/>
      <c r="AI243" s="414"/>
      <c r="AJ243" s="414"/>
      <c r="AK243" s="414"/>
      <c r="AL243" s="414"/>
      <c r="AM243" s="296">
        <f>SUM(Y243:AL243)</f>
        <v>0</v>
      </c>
    </row>
    <row r="244" spans="2:39" ht="15.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760">
        <f>Y243</f>
        <v>0</v>
      </c>
      <c r="Z244" s="760">
        <f t="shared" si="372" ref="Z244:AE244">Z243</f>
        <v>0</v>
      </c>
      <c r="AA244" s="760">
        <f t="shared" si="372"/>
        <v>0</v>
      </c>
      <c r="AB244" s="760">
        <f t="shared" si="372"/>
        <v>0</v>
      </c>
      <c r="AC244" s="760">
        <f t="shared" si="372"/>
        <v>0</v>
      </c>
      <c r="AD244" s="760">
        <f t="shared" si="372"/>
        <v>0</v>
      </c>
      <c r="AE244" s="760">
        <f t="shared" si="372"/>
        <v>0</v>
      </c>
      <c r="AF244" s="410">
        <f t="shared" si="373" ref="AF244">AF243</f>
        <v>0</v>
      </c>
      <c r="AG244" s="410">
        <f t="shared" si="374" ref="AG244">AG243</f>
        <v>0</v>
      </c>
      <c r="AH244" s="410">
        <f t="shared" si="375" ref="AH244">AH243</f>
        <v>0</v>
      </c>
      <c r="AI244" s="410">
        <f t="shared" si="376" ref="AI244">AI243</f>
        <v>0</v>
      </c>
      <c r="AJ244" s="410">
        <f t="shared" si="377" ref="AJ244">AJ243</f>
        <v>0</v>
      </c>
      <c r="AK244" s="410">
        <f t="shared" si="378" ref="AK244">AK243</f>
        <v>0</v>
      </c>
      <c r="AL244" s="410">
        <f t="shared" si="379" ref="AL244">AL243</f>
        <v>0</v>
      </c>
      <c r="AM244" s="311"/>
    </row>
    <row r="245" spans="2:39" ht="15.5" outlineLevel="1">
      <c r="B245" s="314"/>
      <c r="C245" s="312"/>
      <c r="D245" s="755"/>
      <c r="E245" s="755"/>
      <c r="F245" s="755"/>
      <c r="G245" s="755"/>
      <c r="H245" s="755"/>
      <c r="I245" s="755"/>
      <c r="J245" s="755"/>
      <c r="K245" s="755"/>
      <c r="L245" s="755"/>
      <c r="M245" s="755"/>
      <c r="N245" s="750"/>
      <c r="O245" s="755"/>
      <c r="P245" s="755"/>
      <c r="Q245" s="755"/>
      <c r="R245" s="755"/>
      <c r="S245" s="755"/>
      <c r="T245" s="755"/>
      <c r="U245" s="755"/>
      <c r="V245" s="755"/>
      <c r="W245" s="755"/>
      <c r="X245" s="755"/>
      <c r="Y245" s="765"/>
      <c r="Z245" s="766"/>
      <c r="AA245" s="765"/>
      <c r="AB245" s="765"/>
      <c r="AC245" s="765"/>
      <c r="AD245" s="765"/>
      <c r="AE245" s="765"/>
      <c r="AF245" s="415"/>
      <c r="AG245" s="415"/>
      <c r="AH245" s="415"/>
      <c r="AI245" s="415"/>
      <c r="AJ245" s="415"/>
      <c r="AK245" s="415"/>
      <c r="AL245" s="415"/>
      <c r="AM245" s="313"/>
    </row>
    <row r="246" spans="1:39" ht="31" outlineLevel="1">
      <c r="A246" s="516">
        <v>9</v>
      </c>
      <c r="B246" s="514"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764"/>
      <c r="Z246" s="759"/>
      <c r="AA246" s="759"/>
      <c r="AB246" s="759"/>
      <c r="AC246" s="759"/>
      <c r="AD246" s="759"/>
      <c r="AE246" s="759"/>
      <c r="AF246" s="414"/>
      <c r="AG246" s="414"/>
      <c r="AH246" s="414"/>
      <c r="AI246" s="414"/>
      <c r="AJ246" s="414"/>
      <c r="AK246" s="414"/>
      <c r="AL246" s="414"/>
      <c r="AM246" s="296">
        <f>SUM(Y246:AL246)</f>
        <v>0</v>
      </c>
    </row>
    <row r="247" spans="2:39" ht="15.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760">
        <f>Y246</f>
        <v>0</v>
      </c>
      <c r="Z247" s="760">
        <f t="shared" si="380" ref="Z247:AE247">Z246</f>
        <v>0</v>
      </c>
      <c r="AA247" s="760">
        <f t="shared" si="380"/>
        <v>0</v>
      </c>
      <c r="AB247" s="760">
        <f t="shared" si="380"/>
        <v>0</v>
      </c>
      <c r="AC247" s="760">
        <f t="shared" si="380"/>
        <v>0</v>
      </c>
      <c r="AD247" s="760">
        <f t="shared" si="380"/>
        <v>0</v>
      </c>
      <c r="AE247" s="760">
        <f t="shared" si="380"/>
        <v>0</v>
      </c>
      <c r="AF247" s="410">
        <f t="shared" si="381" ref="AF247">AF246</f>
        <v>0</v>
      </c>
      <c r="AG247" s="410">
        <f t="shared" si="382" ref="AG247">AG246</f>
        <v>0</v>
      </c>
      <c r="AH247" s="410">
        <f t="shared" si="383" ref="AH247">AH246</f>
        <v>0</v>
      </c>
      <c r="AI247" s="410">
        <f t="shared" si="384" ref="AI247">AI246</f>
        <v>0</v>
      </c>
      <c r="AJ247" s="410">
        <f t="shared" si="385" ref="AJ247">AJ246</f>
        <v>0</v>
      </c>
      <c r="AK247" s="410">
        <f t="shared" si="386" ref="AK247">AK246</f>
        <v>0</v>
      </c>
      <c r="AL247" s="410">
        <f t="shared" si="387" ref="AL247">AL246</f>
        <v>0</v>
      </c>
      <c r="AM247" s="311"/>
    </row>
    <row r="248" spans="2:39" ht="15.5" outlineLevel="1">
      <c r="B248" s="314"/>
      <c r="C248" s="312"/>
      <c r="D248" s="755"/>
      <c r="E248" s="755"/>
      <c r="F248" s="755"/>
      <c r="G248" s="755"/>
      <c r="H248" s="755"/>
      <c r="I248" s="755"/>
      <c r="J248" s="755"/>
      <c r="K248" s="755"/>
      <c r="L248" s="755"/>
      <c r="M248" s="755"/>
      <c r="N248" s="750"/>
      <c r="O248" s="755"/>
      <c r="P248" s="755"/>
      <c r="Q248" s="755"/>
      <c r="R248" s="755"/>
      <c r="S248" s="755"/>
      <c r="T248" s="755"/>
      <c r="U248" s="755"/>
      <c r="V248" s="755"/>
      <c r="W248" s="755"/>
      <c r="X248" s="755"/>
      <c r="Y248" s="765"/>
      <c r="Z248" s="765"/>
      <c r="AA248" s="765"/>
      <c r="AB248" s="765"/>
      <c r="AC248" s="765"/>
      <c r="AD248" s="765"/>
      <c r="AE248" s="765"/>
      <c r="AF248" s="415"/>
      <c r="AG248" s="415"/>
      <c r="AH248" s="415"/>
      <c r="AI248" s="415"/>
      <c r="AJ248" s="415"/>
      <c r="AK248" s="415"/>
      <c r="AL248" s="415"/>
      <c r="AM248" s="313"/>
    </row>
    <row r="249" spans="1:39" ht="31" outlineLevel="1">
      <c r="A249" s="516">
        <v>10</v>
      </c>
      <c r="B249" s="514"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764"/>
      <c r="Z249" s="759"/>
      <c r="AA249" s="759"/>
      <c r="AB249" s="759"/>
      <c r="AC249" s="759"/>
      <c r="AD249" s="759"/>
      <c r="AE249" s="759"/>
      <c r="AF249" s="414"/>
      <c r="AG249" s="414"/>
      <c r="AH249" s="414"/>
      <c r="AI249" s="414"/>
      <c r="AJ249" s="414"/>
      <c r="AK249" s="414"/>
      <c r="AL249" s="414"/>
      <c r="AM249" s="296">
        <f>SUM(Y249:AL249)</f>
        <v>0</v>
      </c>
    </row>
    <row r="250" spans="2:39" ht="15.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760">
        <f>Y249</f>
        <v>0</v>
      </c>
      <c r="Z250" s="760">
        <f t="shared" si="388" ref="Z250:AE250">Z249</f>
        <v>0</v>
      </c>
      <c r="AA250" s="760">
        <f t="shared" si="388"/>
        <v>0</v>
      </c>
      <c r="AB250" s="760">
        <f t="shared" si="388"/>
        <v>0</v>
      </c>
      <c r="AC250" s="760">
        <f t="shared" si="388"/>
        <v>0</v>
      </c>
      <c r="AD250" s="760">
        <f t="shared" si="388"/>
        <v>0</v>
      </c>
      <c r="AE250" s="760">
        <f t="shared" si="388"/>
        <v>0</v>
      </c>
      <c r="AF250" s="410">
        <f t="shared" si="389" ref="AF250">AF249</f>
        <v>0</v>
      </c>
      <c r="AG250" s="410">
        <f t="shared" si="390" ref="AG250">AG249</f>
        <v>0</v>
      </c>
      <c r="AH250" s="410">
        <f t="shared" si="391" ref="AH250">AH249</f>
        <v>0</v>
      </c>
      <c r="AI250" s="410">
        <f t="shared" si="392" ref="AI250">AI249</f>
        <v>0</v>
      </c>
      <c r="AJ250" s="410">
        <f t="shared" si="393" ref="AJ250">AJ249</f>
        <v>0</v>
      </c>
      <c r="AK250" s="410">
        <f t="shared" si="394" ref="AK250">AK249</f>
        <v>0</v>
      </c>
      <c r="AL250" s="410">
        <f t="shared" si="395" ref="AL250">AL249</f>
        <v>0</v>
      </c>
      <c r="AM250" s="311"/>
    </row>
    <row r="251" spans="2:39" ht="15.5" outlineLevel="1">
      <c r="B251" s="314"/>
      <c r="C251" s="312"/>
      <c r="D251" s="755"/>
      <c r="E251" s="755"/>
      <c r="F251" s="755"/>
      <c r="G251" s="755"/>
      <c r="H251" s="755"/>
      <c r="I251" s="755"/>
      <c r="J251" s="755"/>
      <c r="K251" s="755"/>
      <c r="L251" s="755"/>
      <c r="M251" s="755"/>
      <c r="N251" s="750"/>
      <c r="O251" s="755"/>
      <c r="P251" s="755"/>
      <c r="Q251" s="755"/>
      <c r="R251" s="755"/>
      <c r="S251" s="755"/>
      <c r="T251" s="755"/>
      <c r="U251" s="755"/>
      <c r="V251" s="755"/>
      <c r="W251" s="755"/>
      <c r="X251" s="755"/>
      <c r="Y251" s="765"/>
      <c r="Z251" s="766"/>
      <c r="AA251" s="765"/>
      <c r="AB251" s="765"/>
      <c r="AC251" s="765"/>
      <c r="AD251" s="765"/>
      <c r="AE251" s="765"/>
      <c r="AF251" s="415"/>
      <c r="AG251" s="415"/>
      <c r="AH251" s="415"/>
      <c r="AI251" s="415"/>
      <c r="AJ251" s="415"/>
      <c r="AK251" s="415"/>
      <c r="AL251" s="415"/>
      <c r="AM251" s="313"/>
    </row>
    <row r="252" spans="2:39" ht="15.5" outlineLevel="1">
      <c r="B252" s="288" t="s">
        <v>10</v>
      </c>
      <c r="C252" s="289"/>
      <c r="D252" s="754"/>
      <c r="E252" s="754"/>
      <c r="F252" s="754"/>
      <c r="G252" s="754"/>
      <c r="H252" s="754"/>
      <c r="I252" s="754"/>
      <c r="J252" s="754"/>
      <c r="K252" s="754"/>
      <c r="L252" s="754"/>
      <c r="M252" s="754"/>
      <c r="N252" s="756"/>
      <c r="O252" s="754"/>
      <c r="P252" s="754"/>
      <c r="Q252" s="754"/>
      <c r="R252" s="754"/>
      <c r="S252" s="754"/>
      <c r="T252" s="754"/>
      <c r="U252" s="754"/>
      <c r="V252" s="754"/>
      <c r="W252" s="754"/>
      <c r="X252" s="754"/>
      <c r="Y252" s="763"/>
      <c r="Z252" s="763"/>
      <c r="AA252" s="763"/>
      <c r="AB252" s="763"/>
      <c r="AC252" s="763"/>
      <c r="AD252" s="763"/>
      <c r="AE252" s="763"/>
      <c r="AF252" s="413"/>
      <c r="AG252" s="413"/>
      <c r="AH252" s="413"/>
      <c r="AI252" s="413"/>
      <c r="AJ252" s="413"/>
      <c r="AK252" s="413"/>
      <c r="AL252" s="413"/>
      <c r="AM252" s="292"/>
    </row>
    <row r="253" spans="1:39" ht="31" outlineLevel="1">
      <c r="A253" s="516">
        <v>11</v>
      </c>
      <c r="B253" s="514"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776"/>
      <c r="Z253" s="759"/>
      <c r="AA253" s="759"/>
      <c r="AB253" s="759"/>
      <c r="AC253" s="759"/>
      <c r="AD253" s="759"/>
      <c r="AE253" s="759"/>
      <c r="AF253" s="414"/>
      <c r="AG253" s="414"/>
      <c r="AH253" s="414"/>
      <c r="AI253" s="414"/>
      <c r="AJ253" s="414"/>
      <c r="AK253" s="414"/>
      <c r="AL253" s="414"/>
      <c r="AM253" s="296">
        <f>SUM(Y253:AL253)</f>
        <v>0</v>
      </c>
    </row>
    <row r="254" spans="2:39" ht="15.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760">
        <f>Y253</f>
        <v>0</v>
      </c>
      <c r="Z254" s="760">
        <f t="shared" si="396" ref="Z254:AE254">Z253</f>
        <v>0</v>
      </c>
      <c r="AA254" s="760">
        <f t="shared" si="396"/>
        <v>0</v>
      </c>
      <c r="AB254" s="760">
        <f t="shared" si="396"/>
        <v>0</v>
      </c>
      <c r="AC254" s="760">
        <f t="shared" si="396"/>
        <v>0</v>
      </c>
      <c r="AD254" s="760">
        <f t="shared" si="396"/>
        <v>0</v>
      </c>
      <c r="AE254" s="760">
        <f t="shared" si="396"/>
        <v>0</v>
      </c>
      <c r="AF254" s="410">
        <f t="shared" si="397" ref="AF254">AF253</f>
        <v>0</v>
      </c>
      <c r="AG254" s="410">
        <f t="shared" si="398" ref="AG254">AG253</f>
        <v>0</v>
      </c>
      <c r="AH254" s="410">
        <f t="shared" si="399" ref="AH254">AH253</f>
        <v>0</v>
      </c>
      <c r="AI254" s="410">
        <f t="shared" si="400" ref="AI254">AI253</f>
        <v>0</v>
      </c>
      <c r="AJ254" s="410">
        <f t="shared" si="401" ref="AJ254">AJ253</f>
        <v>0</v>
      </c>
      <c r="AK254" s="410">
        <f t="shared" si="402" ref="AK254">AK253</f>
        <v>0</v>
      </c>
      <c r="AL254" s="410">
        <f t="shared" si="403" ref="AL254">AL253</f>
        <v>0</v>
      </c>
      <c r="AM254" s="297"/>
    </row>
    <row r="255" spans="2:39" ht="15.5" outlineLevel="1">
      <c r="B255" s="315"/>
      <c r="C255" s="305"/>
      <c r="D255" s="750"/>
      <c r="E255" s="750"/>
      <c r="F255" s="750"/>
      <c r="G255" s="750"/>
      <c r="H255" s="750"/>
      <c r="I255" s="750"/>
      <c r="J255" s="750"/>
      <c r="K255" s="750"/>
      <c r="L255" s="750"/>
      <c r="M255" s="750"/>
      <c r="N255" s="750"/>
      <c r="O255" s="750"/>
      <c r="P255" s="750"/>
      <c r="Q255" s="750"/>
      <c r="R255" s="750"/>
      <c r="S255" s="750"/>
      <c r="T255" s="750"/>
      <c r="U255" s="750"/>
      <c r="V255" s="750"/>
      <c r="W255" s="750"/>
      <c r="X255" s="750"/>
      <c r="Y255" s="761"/>
      <c r="Z255" s="770"/>
      <c r="AA255" s="770"/>
      <c r="AB255" s="770"/>
      <c r="AC255" s="770"/>
      <c r="AD255" s="770"/>
      <c r="AE255" s="770"/>
      <c r="AF255" s="418"/>
      <c r="AG255" s="418"/>
      <c r="AH255" s="418"/>
      <c r="AI255" s="418"/>
      <c r="AJ255" s="418"/>
      <c r="AK255" s="418"/>
      <c r="AL255" s="418"/>
      <c r="AM255" s="306"/>
    </row>
    <row r="256" spans="1:39" ht="31" outlineLevel="1">
      <c r="A256" s="516">
        <v>12</v>
      </c>
      <c r="B256" s="514"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759"/>
      <c r="Z256" s="759"/>
      <c r="AA256" s="759"/>
      <c r="AB256" s="759"/>
      <c r="AC256" s="759"/>
      <c r="AD256" s="759"/>
      <c r="AE256" s="759"/>
      <c r="AF256" s="414"/>
      <c r="AG256" s="414"/>
      <c r="AH256" s="414"/>
      <c r="AI256" s="414"/>
      <c r="AJ256" s="414"/>
      <c r="AK256" s="414"/>
      <c r="AL256" s="414"/>
      <c r="AM256" s="296">
        <f>SUM(Y256:AL256)</f>
        <v>0</v>
      </c>
    </row>
    <row r="257" spans="2:39" ht="15.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760">
        <f>Y256</f>
        <v>0</v>
      </c>
      <c r="Z257" s="760">
        <f t="shared" si="404" ref="Z257:AE257">Z256</f>
        <v>0</v>
      </c>
      <c r="AA257" s="760">
        <f t="shared" si="404"/>
        <v>0</v>
      </c>
      <c r="AB257" s="760">
        <f t="shared" si="404"/>
        <v>0</v>
      </c>
      <c r="AC257" s="760">
        <f t="shared" si="404"/>
        <v>0</v>
      </c>
      <c r="AD257" s="760">
        <f t="shared" si="404"/>
        <v>0</v>
      </c>
      <c r="AE257" s="760">
        <f t="shared" si="404"/>
        <v>0</v>
      </c>
      <c r="AF257" s="410">
        <f t="shared" si="405" ref="AF257">AF256</f>
        <v>0</v>
      </c>
      <c r="AG257" s="410">
        <f t="shared" si="406" ref="AG257">AG256</f>
        <v>0</v>
      </c>
      <c r="AH257" s="410">
        <f t="shared" si="407" ref="AH257">AH256</f>
        <v>0</v>
      </c>
      <c r="AI257" s="410">
        <f t="shared" si="408" ref="AI257">AI256</f>
        <v>0</v>
      </c>
      <c r="AJ257" s="410">
        <f t="shared" si="409" ref="AJ257">AJ256</f>
        <v>0</v>
      </c>
      <c r="AK257" s="410">
        <f t="shared" si="410" ref="AK257">AK256</f>
        <v>0</v>
      </c>
      <c r="AL257" s="410">
        <f t="shared" si="411" ref="AL257">AL256</f>
        <v>0</v>
      </c>
      <c r="AM257" s="297"/>
    </row>
    <row r="258" spans="2:39" ht="15.5" outlineLevel="1">
      <c r="B258" s="315"/>
      <c r="C258" s="305"/>
      <c r="D258" s="750"/>
      <c r="E258" s="750"/>
      <c r="F258" s="750"/>
      <c r="G258" s="750"/>
      <c r="H258" s="750"/>
      <c r="I258" s="750"/>
      <c r="J258" s="750"/>
      <c r="K258" s="750"/>
      <c r="L258" s="750"/>
      <c r="M258" s="750"/>
      <c r="N258" s="750"/>
      <c r="O258" s="750"/>
      <c r="P258" s="750"/>
      <c r="Q258" s="750"/>
      <c r="R258" s="750"/>
      <c r="S258" s="750"/>
      <c r="T258" s="750"/>
      <c r="U258" s="750"/>
      <c r="V258" s="750"/>
      <c r="W258" s="750"/>
      <c r="X258" s="750"/>
      <c r="Y258" s="771"/>
      <c r="Z258" s="771"/>
      <c r="AA258" s="761"/>
      <c r="AB258" s="761"/>
      <c r="AC258" s="761"/>
      <c r="AD258" s="761"/>
      <c r="AE258" s="761"/>
      <c r="AF258" s="411"/>
      <c r="AG258" s="411"/>
      <c r="AH258" s="411"/>
      <c r="AI258" s="411"/>
      <c r="AJ258" s="411"/>
      <c r="AK258" s="411"/>
      <c r="AL258" s="411"/>
      <c r="AM258" s="306"/>
    </row>
    <row r="259" spans="1:39" ht="31" outlineLevel="1">
      <c r="A259" s="516">
        <v>13</v>
      </c>
      <c r="B259" s="514"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759"/>
      <c r="Z259" s="759"/>
      <c r="AA259" s="759"/>
      <c r="AB259" s="759"/>
      <c r="AC259" s="759"/>
      <c r="AD259" s="759"/>
      <c r="AE259" s="759"/>
      <c r="AF259" s="414"/>
      <c r="AG259" s="414"/>
      <c r="AH259" s="414"/>
      <c r="AI259" s="414"/>
      <c r="AJ259" s="414"/>
      <c r="AK259" s="414"/>
      <c r="AL259" s="414"/>
      <c r="AM259" s="296">
        <f>SUM(Y259:AL259)</f>
        <v>0</v>
      </c>
    </row>
    <row r="260" spans="2:39" ht="15.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760">
        <f>Y259</f>
        <v>0</v>
      </c>
      <c r="Z260" s="760">
        <f t="shared" si="412" ref="Z260:AE260">Z259</f>
        <v>0</v>
      </c>
      <c r="AA260" s="760">
        <f t="shared" si="412"/>
        <v>0</v>
      </c>
      <c r="AB260" s="760">
        <f t="shared" si="412"/>
        <v>0</v>
      </c>
      <c r="AC260" s="760">
        <f t="shared" si="412"/>
        <v>0</v>
      </c>
      <c r="AD260" s="760">
        <f t="shared" si="412"/>
        <v>0</v>
      </c>
      <c r="AE260" s="760">
        <f t="shared" si="412"/>
        <v>0</v>
      </c>
      <c r="AF260" s="410">
        <f t="shared" si="413" ref="AF260">AF259</f>
        <v>0</v>
      </c>
      <c r="AG260" s="410">
        <f t="shared" si="414" ref="AG260">AG259</f>
        <v>0</v>
      </c>
      <c r="AH260" s="410">
        <f t="shared" si="415" ref="AH260">AH259</f>
        <v>0</v>
      </c>
      <c r="AI260" s="410">
        <f t="shared" si="416" ref="AI260">AI259</f>
        <v>0</v>
      </c>
      <c r="AJ260" s="410">
        <f t="shared" si="417" ref="AJ260">AJ259</f>
        <v>0</v>
      </c>
      <c r="AK260" s="410">
        <f t="shared" si="418" ref="AK260">AK259</f>
        <v>0</v>
      </c>
      <c r="AL260" s="410">
        <f t="shared" si="419" ref="AL260">AL259</f>
        <v>0</v>
      </c>
      <c r="AM260" s="306"/>
    </row>
    <row r="261" spans="2:39" ht="15.5" outlineLevel="1">
      <c r="B261" s="315"/>
      <c r="C261" s="305"/>
      <c r="D261" s="750"/>
      <c r="E261" s="750"/>
      <c r="F261" s="750"/>
      <c r="G261" s="750"/>
      <c r="H261" s="750"/>
      <c r="I261" s="750"/>
      <c r="J261" s="750"/>
      <c r="K261" s="750"/>
      <c r="L261" s="750"/>
      <c r="M261" s="750"/>
      <c r="N261" s="750"/>
      <c r="O261" s="750"/>
      <c r="P261" s="750"/>
      <c r="Q261" s="750"/>
      <c r="R261" s="750"/>
      <c r="S261" s="750"/>
      <c r="T261" s="750"/>
      <c r="U261" s="750"/>
      <c r="V261" s="750"/>
      <c r="W261" s="750"/>
      <c r="X261" s="750"/>
      <c r="Y261" s="761"/>
      <c r="Z261" s="761"/>
      <c r="AA261" s="761"/>
      <c r="AB261" s="761"/>
      <c r="AC261" s="761"/>
      <c r="AD261" s="761"/>
      <c r="AE261" s="761"/>
      <c r="AF261" s="411"/>
      <c r="AG261" s="411"/>
      <c r="AH261" s="411"/>
      <c r="AI261" s="411"/>
      <c r="AJ261" s="411"/>
      <c r="AK261" s="411"/>
      <c r="AL261" s="411"/>
      <c r="AM261" s="306"/>
    </row>
    <row r="262" spans="2:39" ht="15.5" outlineLevel="1">
      <c r="B262" s="288" t="s">
        <v>107</v>
      </c>
      <c r="C262" s="289"/>
      <c r="D262" s="756"/>
      <c r="E262" s="756"/>
      <c r="F262" s="756"/>
      <c r="G262" s="756"/>
      <c r="H262" s="756"/>
      <c r="I262" s="756"/>
      <c r="J262" s="756"/>
      <c r="K262" s="756"/>
      <c r="L262" s="756"/>
      <c r="M262" s="756"/>
      <c r="N262" s="756"/>
      <c r="O262" s="756"/>
      <c r="P262" s="754"/>
      <c r="Q262" s="754"/>
      <c r="R262" s="754"/>
      <c r="S262" s="754"/>
      <c r="T262" s="754"/>
      <c r="U262" s="754"/>
      <c r="V262" s="754"/>
      <c r="W262" s="754"/>
      <c r="X262" s="754"/>
      <c r="Y262" s="763"/>
      <c r="Z262" s="763"/>
      <c r="AA262" s="763"/>
      <c r="AB262" s="763"/>
      <c r="AC262" s="763"/>
      <c r="AD262" s="763"/>
      <c r="AE262" s="763"/>
      <c r="AF262" s="413"/>
      <c r="AG262" s="413"/>
      <c r="AH262" s="413"/>
      <c r="AI262" s="413"/>
      <c r="AJ262" s="413"/>
      <c r="AK262" s="413"/>
      <c r="AL262" s="413"/>
      <c r="AM262" s="292"/>
    </row>
    <row r="263" spans="1:39" ht="15.5" outlineLevel="1">
      <c r="A263" s="516">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759"/>
      <c r="Z263" s="759"/>
      <c r="AA263" s="759"/>
      <c r="AB263" s="759"/>
      <c r="AC263" s="759"/>
      <c r="AD263" s="759"/>
      <c r="AE263" s="759"/>
      <c r="AF263" s="409"/>
      <c r="AG263" s="409"/>
      <c r="AH263" s="409"/>
      <c r="AI263" s="409"/>
      <c r="AJ263" s="409"/>
      <c r="AK263" s="409"/>
      <c r="AL263" s="409"/>
      <c r="AM263" s="296">
        <f>SUM(Y263:AL263)</f>
        <v>0</v>
      </c>
    </row>
    <row r="264" spans="2:39" ht="15.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760">
        <f>Y263</f>
        <v>0</v>
      </c>
      <c r="Z264" s="760">
        <f t="shared" si="420" ref="Z264:AE264">Z263</f>
        <v>0</v>
      </c>
      <c r="AA264" s="760">
        <f t="shared" si="420"/>
        <v>0</v>
      </c>
      <c r="AB264" s="760">
        <f t="shared" si="420"/>
        <v>0</v>
      </c>
      <c r="AC264" s="760">
        <f t="shared" si="420"/>
        <v>0</v>
      </c>
      <c r="AD264" s="760">
        <f t="shared" si="420"/>
        <v>0</v>
      </c>
      <c r="AE264" s="760">
        <f t="shared" si="420"/>
        <v>0</v>
      </c>
      <c r="AF264" s="410">
        <f t="shared" si="421" ref="AF264">AF263</f>
        <v>0</v>
      </c>
      <c r="AG264" s="410">
        <f t="shared" si="422" ref="AG264">AG263</f>
        <v>0</v>
      </c>
      <c r="AH264" s="410">
        <f t="shared" si="423" ref="AH264">AH263</f>
        <v>0</v>
      </c>
      <c r="AI264" s="410">
        <f t="shared" si="424" ref="AI264">AI263</f>
        <v>0</v>
      </c>
      <c r="AJ264" s="410">
        <f t="shared" si="425" ref="AJ264">AJ263</f>
        <v>0</v>
      </c>
      <c r="AK264" s="410">
        <f t="shared" si="426" ref="AK264">AK263</f>
        <v>0</v>
      </c>
      <c r="AL264" s="410">
        <f t="shared" si="427" ref="AL264">AL263</f>
        <v>0</v>
      </c>
      <c r="AM264" s="297"/>
    </row>
    <row r="265" spans="1:40" ht="15.5" outlineLevel="1">
      <c r="A265" s="517"/>
      <c r="B265" s="315"/>
      <c r="C265" s="305"/>
      <c r="D265" s="750"/>
      <c r="E265" s="750"/>
      <c r="F265" s="750"/>
      <c r="G265" s="750"/>
      <c r="H265" s="750"/>
      <c r="I265" s="750"/>
      <c r="J265" s="750"/>
      <c r="K265" s="750"/>
      <c r="L265" s="750"/>
      <c r="M265" s="750"/>
      <c r="N265" s="751"/>
      <c r="O265" s="750"/>
      <c r="P265" s="750"/>
      <c r="Q265" s="750"/>
      <c r="R265" s="750"/>
      <c r="S265" s="750"/>
      <c r="T265" s="750"/>
      <c r="U265" s="750"/>
      <c r="V265" s="750"/>
      <c r="W265" s="750"/>
      <c r="X265" s="750"/>
      <c r="Y265" s="761"/>
      <c r="Z265" s="761"/>
      <c r="AA265" s="761"/>
      <c r="AB265" s="761"/>
      <c r="AC265" s="761"/>
      <c r="AD265" s="761"/>
      <c r="AE265" s="761"/>
      <c r="AF265" s="411"/>
      <c r="AG265" s="411"/>
      <c r="AH265" s="411"/>
      <c r="AI265" s="411"/>
      <c r="AJ265" s="411"/>
      <c r="AK265" s="411"/>
      <c r="AL265" s="411"/>
      <c r="AM265" s="301"/>
      <c r="AN265" s="623"/>
    </row>
    <row r="266" spans="1:40" s="309" customFormat="1" ht="15.5" outlineLevel="1">
      <c r="A266" s="517"/>
      <c r="B266" s="288" t="s">
        <v>489</v>
      </c>
      <c r="C266" s="291"/>
      <c r="D266" s="750"/>
      <c r="E266" s="750"/>
      <c r="F266" s="750"/>
      <c r="G266" s="750"/>
      <c r="H266" s="750"/>
      <c r="I266" s="750"/>
      <c r="J266" s="750"/>
      <c r="K266" s="750"/>
      <c r="L266" s="750"/>
      <c r="M266" s="750"/>
      <c r="N266" s="750"/>
      <c r="O266" s="750"/>
      <c r="P266" s="750"/>
      <c r="Q266" s="750"/>
      <c r="R266" s="750"/>
      <c r="S266" s="750"/>
      <c r="T266" s="750"/>
      <c r="U266" s="750"/>
      <c r="V266" s="750"/>
      <c r="W266" s="750"/>
      <c r="X266" s="750"/>
      <c r="Y266" s="761"/>
      <c r="Z266" s="761"/>
      <c r="AA266" s="761"/>
      <c r="AB266" s="761"/>
      <c r="AC266" s="761"/>
      <c r="AD266" s="761"/>
      <c r="AE266" s="765"/>
      <c r="AF266" s="415"/>
      <c r="AG266" s="415"/>
      <c r="AH266" s="415"/>
      <c r="AI266" s="415"/>
      <c r="AJ266" s="415"/>
      <c r="AK266" s="415"/>
      <c r="AL266" s="415"/>
      <c r="AM266" s="511"/>
      <c r="AN266" s="624"/>
    </row>
    <row r="267" spans="1:39" ht="15.5" outlineLevel="1">
      <c r="A267" s="516">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759"/>
      <c r="Z267" s="759"/>
      <c r="AA267" s="759"/>
      <c r="AB267" s="759"/>
      <c r="AC267" s="759"/>
      <c r="AD267" s="759"/>
      <c r="AE267" s="759"/>
      <c r="AF267" s="409"/>
      <c r="AG267" s="409"/>
      <c r="AH267" s="409"/>
      <c r="AI267" s="409"/>
      <c r="AJ267" s="409"/>
      <c r="AK267" s="409"/>
      <c r="AL267" s="409"/>
      <c r="AM267" s="296">
        <f>SUM(Y267:AL267)</f>
        <v>0</v>
      </c>
    </row>
    <row r="268" spans="2:39" ht="15.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760">
        <f>Y267</f>
        <v>0</v>
      </c>
      <c r="Z268" s="760">
        <f t="shared" si="428" ref="Z268:AE268">Z267</f>
        <v>0</v>
      </c>
      <c r="AA268" s="760">
        <f t="shared" si="428"/>
        <v>0</v>
      </c>
      <c r="AB268" s="760">
        <f t="shared" si="428"/>
        <v>0</v>
      </c>
      <c r="AC268" s="760">
        <f t="shared" si="428"/>
        <v>0</v>
      </c>
      <c r="AD268" s="760">
        <f t="shared" si="428"/>
        <v>0</v>
      </c>
      <c r="AE268" s="760">
        <f t="shared" si="428"/>
        <v>0</v>
      </c>
      <c r="AF268" s="410">
        <f t="shared" si="429" ref="AF268:AL268">AF267</f>
        <v>0</v>
      </c>
      <c r="AG268" s="410">
        <f t="shared" si="429"/>
        <v>0</v>
      </c>
      <c r="AH268" s="410">
        <f t="shared" si="429"/>
        <v>0</v>
      </c>
      <c r="AI268" s="410">
        <f t="shared" si="429"/>
        <v>0</v>
      </c>
      <c r="AJ268" s="410">
        <f t="shared" si="429"/>
        <v>0</v>
      </c>
      <c r="AK268" s="410">
        <f t="shared" si="429"/>
        <v>0</v>
      </c>
      <c r="AL268" s="410">
        <f t="shared" si="429"/>
        <v>0</v>
      </c>
      <c r="AM268" s="297"/>
    </row>
    <row r="269" spans="2:39" ht="15.5" outlineLevel="1">
      <c r="B269" s="315"/>
      <c r="C269" s="305"/>
      <c r="D269" s="750"/>
      <c r="E269" s="750"/>
      <c r="F269" s="750"/>
      <c r="G269" s="750"/>
      <c r="H269" s="750"/>
      <c r="I269" s="750"/>
      <c r="J269" s="750"/>
      <c r="K269" s="750"/>
      <c r="L269" s="750"/>
      <c r="M269" s="750"/>
      <c r="N269" s="750"/>
      <c r="O269" s="750"/>
      <c r="P269" s="750"/>
      <c r="Q269" s="750"/>
      <c r="R269" s="750"/>
      <c r="S269" s="750"/>
      <c r="T269" s="750"/>
      <c r="U269" s="750"/>
      <c r="V269" s="750"/>
      <c r="W269" s="750"/>
      <c r="X269" s="750"/>
      <c r="Y269" s="761"/>
      <c r="Z269" s="761"/>
      <c r="AA269" s="761"/>
      <c r="AB269" s="761"/>
      <c r="AC269" s="761"/>
      <c r="AD269" s="761"/>
      <c r="AE269" s="761"/>
      <c r="AF269" s="411"/>
      <c r="AG269" s="411"/>
      <c r="AH269" s="411"/>
      <c r="AI269" s="411"/>
      <c r="AJ269" s="411"/>
      <c r="AK269" s="411"/>
      <c r="AL269" s="411"/>
      <c r="AM269" s="306"/>
    </row>
    <row r="270" spans="1:39" s="283" customFormat="1" ht="15.5" outlineLevel="1">
      <c r="A270" s="516">
        <v>16</v>
      </c>
      <c r="B270" s="323"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759"/>
      <c r="Z270" s="759"/>
      <c r="AA270" s="759"/>
      <c r="AB270" s="759"/>
      <c r="AC270" s="759"/>
      <c r="AD270" s="759"/>
      <c r="AE270" s="759"/>
      <c r="AF270" s="409"/>
      <c r="AG270" s="409"/>
      <c r="AH270" s="409"/>
      <c r="AI270" s="409"/>
      <c r="AJ270" s="409"/>
      <c r="AK270" s="409"/>
      <c r="AL270" s="409"/>
      <c r="AM270" s="296">
        <f>SUM(Y270:AL270)</f>
        <v>0</v>
      </c>
    </row>
    <row r="271" spans="1:39" s="283" customFormat="1" ht="15.5" outlineLevel="1">
      <c r="A271" s="516"/>
      <c r="B271" s="323"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760">
        <f>Y270</f>
        <v>0</v>
      </c>
      <c r="Z271" s="760">
        <f t="shared" si="430" ref="Z271:AE271">Z270</f>
        <v>0</v>
      </c>
      <c r="AA271" s="760">
        <f t="shared" si="430"/>
        <v>0</v>
      </c>
      <c r="AB271" s="760">
        <f t="shared" si="430"/>
        <v>0</v>
      </c>
      <c r="AC271" s="760">
        <f t="shared" si="430"/>
        <v>0</v>
      </c>
      <c r="AD271" s="760">
        <f t="shared" si="430"/>
        <v>0</v>
      </c>
      <c r="AE271" s="760">
        <f t="shared" si="430"/>
        <v>0</v>
      </c>
      <c r="AF271" s="410">
        <f t="shared" si="431" ref="AF271:AL271">AF270</f>
        <v>0</v>
      </c>
      <c r="AG271" s="410">
        <f t="shared" si="431"/>
        <v>0</v>
      </c>
      <c r="AH271" s="410">
        <f t="shared" si="431"/>
        <v>0</v>
      </c>
      <c r="AI271" s="410">
        <f t="shared" si="431"/>
        <v>0</v>
      </c>
      <c r="AJ271" s="410">
        <f t="shared" si="431"/>
        <v>0</v>
      </c>
      <c r="AK271" s="410">
        <f t="shared" si="431"/>
        <v>0</v>
      </c>
      <c r="AL271" s="410">
        <f t="shared" si="431"/>
        <v>0</v>
      </c>
      <c r="AM271" s="297"/>
    </row>
    <row r="272" spans="1:39" s="283" customFormat="1" ht="15.5" outlineLevel="1">
      <c r="A272" s="516"/>
      <c r="B272" s="323"/>
      <c r="C272" s="291"/>
      <c r="D272" s="750"/>
      <c r="E272" s="750"/>
      <c r="F272" s="750"/>
      <c r="G272" s="750"/>
      <c r="H272" s="750"/>
      <c r="I272" s="750"/>
      <c r="J272" s="750"/>
      <c r="K272" s="750"/>
      <c r="L272" s="750"/>
      <c r="M272" s="750"/>
      <c r="N272" s="750"/>
      <c r="O272" s="750"/>
      <c r="P272" s="750"/>
      <c r="Q272" s="750"/>
      <c r="R272" s="750"/>
      <c r="S272" s="750"/>
      <c r="T272" s="750"/>
      <c r="U272" s="750"/>
      <c r="V272" s="750"/>
      <c r="W272" s="750"/>
      <c r="X272" s="750"/>
      <c r="Y272" s="761"/>
      <c r="Z272" s="761"/>
      <c r="AA272" s="761"/>
      <c r="AB272" s="761"/>
      <c r="AC272" s="761"/>
      <c r="AD272" s="761"/>
      <c r="AE272" s="765"/>
      <c r="AF272" s="415"/>
      <c r="AG272" s="415"/>
      <c r="AH272" s="415"/>
      <c r="AI272" s="415"/>
      <c r="AJ272" s="415"/>
      <c r="AK272" s="415"/>
      <c r="AL272" s="415"/>
      <c r="AM272" s="313"/>
    </row>
    <row r="273" spans="2:39" ht="15.5" outlineLevel="1">
      <c r="B273" s="513" t="s">
        <v>495</v>
      </c>
      <c r="C273" s="319"/>
      <c r="D273" s="756"/>
      <c r="E273" s="754"/>
      <c r="F273" s="754"/>
      <c r="G273" s="754"/>
      <c r="H273" s="754"/>
      <c r="I273" s="754"/>
      <c r="J273" s="754"/>
      <c r="K273" s="754"/>
      <c r="L273" s="754"/>
      <c r="M273" s="754"/>
      <c r="N273" s="756"/>
      <c r="O273" s="754"/>
      <c r="P273" s="754"/>
      <c r="Q273" s="754"/>
      <c r="R273" s="754"/>
      <c r="S273" s="754"/>
      <c r="T273" s="754"/>
      <c r="U273" s="754"/>
      <c r="V273" s="754"/>
      <c r="W273" s="754"/>
      <c r="X273" s="754"/>
      <c r="Y273" s="763"/>
      <c r="Z273" s="763"/>
      <c r="AA273" s="763"/>
      <c r="AB273" s="763"/>
      <c r="AC273" s="763"/>
      <c r="AD273" s="763"/>
      <c r="AE273" s="763"/>
      <c r="AF273" s="413"/>
      <c r="AG273" s="413"/>
      <c r="AH273" s="413"/>
      <c r="AI273" s="413"/>
      <c r="AJ273" s="413"/>
      <c r="AK273" s="413"/>
      <c r="AL273" s="413"/>
      <c r="AM273" s="292"/>
    </row>
    <row r="274" spans="1:39" ht="15.5" outlineLevel="1">
      <c r="A274" s="516">
        <v>17</v>
      </c>
      <c r="B274" s="514"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776"/>
      <c r="Z274" s="759"/>
      <c r="AA274" s="759"/>
      <c r="AB274" s="759"/>
      <c r="AC274" s="759"/>
      <c r="AD274" s="759"/>
      <c r="AE274" s="759"/>
      <c r="AF274" s="414"/>
      <c r="AG274" s="414"/>
      <c r="AH274" s="414"/>
      <c r="AI274" s="414"/>
      <c r="AJ274" s="414"/>
      <c r="AK274" s="414"/>
      <c r="AL274" s="414"/>
      <c r="AM274" s="296">
        <f>SUM(Y274:AL274)</f>
        <v>0</v>
      </c>
    </row>
    <row r="275" spans="2:39" ht="15.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760">
        <f>Y274</f>
        <v>0</v>
      </c>
      <c r="Z275" s="760">
        <f t="shared" si="432" ref="Z275:AE275">Z274</f>
        <v>0</v>
      </c>
      <c r="AA275" s="760">
        <f t="shared" si="432"/>
        <v>0</v>
      </c>
      <c r="AB275" s="760">
        <f t="shared" si="432"/>
        <v>0</v>
      </c>
      <c r="AC275" s="760">
        <f t="shared" si="432"/>
        <v>0</v>
      </c>
      <c r="AD275" s="760">
        <f t="shared" si="432"/>
        <v>0</v>
      </c>
      <c r="AE275" s="760">
        <f t="shared" si="432"/>
        <v>0</v>
      </c>
      <c r="AF275" s="410">
        <f t="shared" si="433" ref="AF275:AL275">AF274</f>
        <v>0</v>
      </c>
      <c r="AG275" s="410">
        <f t="shared" si="433"/>
        <v>0</v>
      </c>
      <c r="AH275" s="410">
        <f t="shared" si="433"/>
        <v>0</v>
      </c>
      <c r="AI275" s="410">
        <f t="shared" si="433"/>
        <v>0</v>
      </c>
      <c r="AJ275" s="410">
        <f t="shared" si="433"/>
        <v>0</v>
      </c>
      <c r="AK275" s="410">
        <f t="shared" si="433"/>
        <v>0</v>
      </c>
      <c r="AL275" s="410">
        <f t="shared" si="433"/>
        <v>0</v>
      </c>
      <c r="AM275" s="306"/>
    </row>
    <row r="276" spans="2:39" ht="15.5" outlineLevel="1">
      <c r="B276" s="294"/>
      <c r="C276" s="291"/>
      <c r="D276" s="750"/>
      <c r="E276" s="750"/>
      <c r="F276" s="750"/>
      <c r="G276" s="750"/>
      <c r="H276" s="750"/>
      <c r="I276" s="750"/>
      <c r="J276" s="750"/>
      <c r="K276" s="750"/>
      <c r="L276" s="750"/>
      <c r="M276" s="750"/>
      <c r="N276" s="750"/>
      <c r="O276" s="750"/>
      <c r="P276" s="750"/>
      <c r="Q276" s="750"/>
      <c r="R276" s="750"/>
      <c r="S276" s="750"/>
      <c r="T276" s="750"/>
      <c r="U276" s="750"/>
      <c r="V276" s="750"/>
      <c r="W276" s="750"/>
      <c r="X276" s="750"/>
      <c r="Y276" s="771"/>
      <c r="Z276" s="780"/>
      <c r="AA276" s="780"/>
      <c r="AB276" s="780"/>
      <c r="AC276" s="780"/>
      <c r="AD276" s="780"/>
      <c r="AE276" s="780"/>
      <c r="AF276" s="422"/>
      <c r="AG276" s="422"/>
      <c r="AH276" s="422"/>
      <c r="AI276" s="422"/>
      <c r="AJ276" s="422"/>
      <c r="AK276" s="422"/>
      <c r="AL276" s="422"/>
      <c r="AM276" s="306"/>
    </row>
    <row r="277" spans="1:39" ht="15.5" outlineLevel="1">
      <c r="A277" s="516">
        <v>18</v>
      </c>
      <c r="B277" s="514"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776"/>
      <c r="Z277" s="759"/>
      <c r="AA277" s="759"/>
      <c r="AB277" s="759"/>
      <c r="AC277" s="759"/>
      <c r="AD277" s="759"/>
      <c r="AE277" s="759"/>
      <c r="AF277" s="414"/>
      <c r="AG277" s="414"/>
      <c r="AH277" s="414"/>
      <c r="AI277" s="414"/>
      <c r="AJ277" s="414"/>
      <c r="AK277" s="414"/>
      <c r="AL277" s="414"/>
      <c r="AM277" s="296">
        <f>SUM(Y277:AL277)</f>
        <v>0</v>
      </c>
    </row>
    <row r="278" spans="2:39" ht="15.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760">
        <f>Y277</f>
        <v>0</v>
      </c>
      <c r="Z278" s="760">
        <f t="shared" si="434" ref="Z278:AE278">Z277</f>
        <v>0</v>
      </c>
      <c r="AA278" s="760">
        <f t="shared" si="434"/>
        <v>0</v>
      </c>
      <c r="AB278" s="760">
        <f t="shared" si="434"/>
        <v>0</v>
      </c>
      <c r="AC278" s="760">
        <f t="shared" si="434"/>
        <v>0</v>
      </c>
      <c r="AD278" s="760">
        <f t="shared" si="434"/>
        <v>0</v>
      </c>
      <c r="AE278" s="760">
        <f t="shared" si="434"/>
        <v>0</v>
      </c>
      <c r="AF278" s="410">
        <f t="shared" si="435" ref="AF278:AL278">AF277</f>
        <v>0</v>
      </c>
      <c r="AG278" s="410">
        <f t="shared" si="435"/>
        <v>0</v>
      </c>
      <c r="AH278" s="410">
        <f t="shared" si="435"/>
        <v>0</v>
      </c>
      <c r="AI278" s="410">
        <f t="shared" si="435"/>
        <v>0</v>
      </c>
      <c r="AJ278" s="410">
        <f t="shared" si="435"/>
        <v>0</v>
      </c>
      <c r="AK278" s="410">
        <f t="shared" si="435"/>
        <v>0</v>
      </c>
      <c r="AL278" s="410">
        <f t="shared" si="435"/>
        <v>0</v>
      </c>
      <c r="AM278" s="306"/>
    </row>
    <row r="279" spans="2:39" ht="15.5" outlineLevel="1">
      <c r="B279" s="321"/>
      <c r="C279" s="291"/>
      <c r="D279" s="750"/>
      <c r="E279" s="750"/>
      <c r="F279" s="750"/>
      <c r="G279" s="750"/>
      <c r="H279" s="750"/>
      <c r="I279" s="750"/>
      <c r="J279" s="750"/>
      <c r="K279" s="750"/>
      <c r="L279" s="750"/>
      <c r="M279" s="750"/>
      <c r="N279" s="750"/>
      <c r="O279" s="750"/>
      <c r="P279" s="750"/>
      <c r="Q279" s="750"/>
      <c r="R279" s="750"/>
      <c r="S279" s="750"/>
      <c r="T279" s="750"/>
      <c r="U279" s="750"/>
      <c r="V279" s="750"/>
      <c r="W279" s="750"/>
      <c r="X279" s="750"/>
      <c r="Y279" s="772"/>
      <c r="Z279" s="773"/>
      <c r="AA279" s="773"/>
      <c r="AB279" s="773"/>
      <c r="AC279" s="773"/>
      <c r="AD279" s="773"/>
      <c r="AE279" s="773"/>
      <c r="AF279" s="421"/>
      <c r="AG279" s="421"/>
      <c r="AH279" s="421"/>
      <c r="AI279" s="421"/>
      <c r="AJ279" s="421"/>
      <c r="AK279" s="421"/>
      <c r="AL279" s="421"/>
      <c r="AM279" s="297"/>
    </row>
    <row r="280" spans="1:39" ht="15.5" outlineLevel="1">
      <c r="A280" s="516">
        <v>19</v>
      </c>
      <c r="B280" s="514"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776"/>
      <c r="Z280" s="759"/>
      <c r="AA280" s="759"/>
      <c r="AB280" s="759"/>
      <c r="AC280" s="759"/>
      <c r="AD280" s="759"/>
      <c r="AE280" s="759"/>
      <c r="AF280" s="414"/>
      <c r="AG280" s="414"/>
      <c r="AH280" s="414"/>
      <c r="AI280" s="414"/>
      <c r="AJ280" s="414"/>
      <c r="AK280" s="414"/>
      <c r="AL280" s="414"/>
      <c r="AM280" s="296">
        <f>SUM(Y280:AL280)</f>
        <v>0</v>
      </c>
    </row>
    <row r="281" spans="2:39" ht="15.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760">
        <f>Y280</f>
        <v>0</v>
      </c>
      <c r="Z281" s="760">
        <f t="shared" si="436" ref="Z281:AE281">Z280</f>
        <v>0</v>
      </c>
      <c r="AA281" s="760">
        <f t="shared" si="436"/>
        <v>0</v>
      </c>
      <c r="AB281" s="760">
        <f t="shared" si="436"/>
        <v>0</v>
      </c>
      <c r="AC281" s="760">
        <f t="shared" si="436"/>
        <v>0</v>
      </c>
      <c r="AD281" s="760">
        <f t="shared" si="436"/>
        <v>0</v>
      </c>
      <c r="AE281" s="760">
        <f t="shared" si="436"/>
        <v>0</v>
      </c>
      <c r="AF281" s="410">
        <f t="shared" si="437" ref="AF281:AL281">AF280</f>
        <v>0</v>
      </c>
      <c r="AG281" s="410">
        <f t="shared" si="437"/>
        <v>0</v>
      </c>
      <c r="AH281" s="410">
        <f t="shared" si="437"/>
        <v>0</v>
      </c>
      <c r="AI281" s="410">
        <f t="shared" si="437"/>
        <v>0</v>
      </c>
      <c r="AJ281" s="410">
        <f t="shared" si="437"/>
        <v>0</v>
      </c>
      <c r="AK281" s="410">
        <f t="shared" si="437"/>
        <v>0</v>
      </c>
      <c r="AL281" s="410">
        <f t="shared" si="437"/>
        <v>0</v>
      </c>
      <c r="AM281" s="297"/>
    </row>
    <row r="282" spans="2:39" ht="15.5" outlineLevel="1">
      <c r="B282" s="321"/>
      <c r="C282" s="291"/>
      <c r="D282" s="750"/>
      <c r="E282" s="750"/>
      <c r="F282" s="750"/>
      <c r="G282" s="750"/>
      <c r="H282" s="750"/>
      <c r="I282" s="750"/>
      <c r="J282" s="750"/>
      <c r="K282" s="750"/>
      <c r="L282" s="750"/>
      <c r="M282" s="750"/>
      <c r="N282" s="750"/>
      <c r="O282" s="750"/>
      <c r="P282" s="750"/>
      <c r="Q282" s="750"/>
      <c r="R282" s="750"/>
      <c r="S282" s="750"/>
      <c r="T282" s="750"/>
      <c r="U282" s="750"/>
      <c r="V282" s="750"/>
      <c r="W282" s="750"/>
      <c r="X282" s="750"/>
      <c r="Y282" s="761"/>
      <c r="Z282" s="761"/>
      <c r="AA282" s="761"/>
      <c r="AB282" s="761"/>
      <c r="AC282" s="761"/>
      <c r="AD282" s="761"/>
      <c r="AE282" s="761"/>
      <c r="AF282" s="411"/>
      <c r="AG282" s="411"/>
      <c r="AH282" s="411"/>
      <c r="AI282" s="411"/>
      <c r="AJ282" s="411"/>
      <c r="AK282" s="411"/>
      <c r="AL282" s="411"/>
      <c r="AM282" s="306"/>
    </row>
    <row r="283" spans="1:39" ht="15.5" outlineLevel="1">
      <c r="A283" s="516">
        <v>20</v>
      </c>
      <c r="B283" s="514"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776"/>
      <c r="Z283" s="759"/>
      <c r="AA283" s="759"/>
      <c r="AB283" s="759"/>
      <c r="AC283" s="759"/>
      <c r="AD283" s="759"/>
      <c r="AE283" s="759"/>
      <c r="AF283" s="414"/>
      <c r="AG283" s="414"/>
      <c r="AH283" s="414"/>
      <c r="AI283" s="414"/>
      <c r="AJ283" s="414"/>
      <c r="AK283" s="414"/>
      <c r="AL283" s="414"/>
      <c r="AM283" s="296">
        <f>SUM(Y283:AL283)</f>
        <v>0</v>
      </c>
    </row>
    <row r="284" spans="2:39" ht="15.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760">
        <f t="shared" si="438" ref="Y284:AE284">Y283</f>
        <v>0</v>
      </c>
      <c r="Z284" s="760">
        <f t="shared" si="438"/>
        <v>0</v>
      </c>
      <c r="AA284" s="760">
        <f t="shared" si="438"/>
        <v>0</v>
      </c>
      <c r="AB284" s="760">
        <f t="shared" si="438"/>
        <v>0</v>
      </c>
      <c r="AC284" s="760">
        <f t="shared" si="438"/>
        <v>0</v>
      </c>
      <c r="AD284" s="760">
        <f t="shared" si="438"/>
        <v>0</v>
      </c>
      <c r="AE284" s="760">
        <f t="shared" si="438"/>
        <v>0</v>
      </c>
      <c r="AF284" s="410">
        <f t="shared" si="439" ref="AF284:AL284">AF283</f>
        <v>0</v>
      </c>
      <c r="AG284" s="410">
        <f t="shared" si="439"/>
        <v>0</v>
      </c>
      <c r="AH284" s="410">
        <f t="shared" si="439"/>
        <v>0</v>
      </c>
      <c r="AI284" s="410">
        <f t="shared" si="439"/>
        <v>0</v>
      </c>
      <c r="AJ284" s="410">
        <f t="shared" si="439"/>
        <v>0</v>
      </c>
      <c r="AK284" s="410">
        <f t="shared" si="439"/>
        <v>0</v>
      </c>
      <c r="AL284" s="410">
        <f t="shared" si="439"/>
        <v>0</v>
      </c>
      <c r="AM284" s="306"/>
    </row>
    <row r="285" spans="2:39" ht="15.5" outlineLevel="1">
      <c r="B285" s="322"/>
      <c r="C285" s="300"/>
      <c r="D285" s="750"/>
      <c r="E285" s="750"/>
      <c r="F285" s="750"/>
      <c r="G285" s="750"/>
      <c r="H285" s="750"/>
      <c r="I285" s="750"/>
      <c r="J285" s="750"/>
      <c r="K285" s="750"/>
      <c r="L285" s="750"/>
      <c r="M285" s="750"/>
      <c r="N285" s="758"/>
      <c r="O285" s="750"/>
      <c r="P285" s="750"/>
      <c r="Q285" s="750"/>
      <c r="R285" s="750"/>
      <c r="S285" s="750"/>
      <c r="T285" s="750"/>
      <c r="U285" s="750"/>
      <c r="V285" s="750"/>
      <c r="W285" s="750"/>
      <c r="X285" s="750"/>
      <c r="Y285" s="761"/>
      <c r="Z285" s="761"/>
      <c r="AA285" s="761"/>
      <c r="AB285" s="761"/>
      <c r="AC285" s="761"/>
      <c r="AD285" s="761"/>
      <c r="AE285" s="761"/>
      <c r="AF285" s="411"/>
      <c r="AG285" s="411"/>
      <c r="AH285" s="411"/>
      <c r="AI285" s="411"/>
      <c r="AJ285" s="411"/>
      <c r="AK285" s="411"/>
      <c r="AL285" s="411"/>
      <c r="AM285" s="306"/>
    </row>
    <row r="286" spans="2:39" ht="15.5" outlineLevel="1">
      <c r="B286" s="512" t="s">
        <v>502</v>
      </c>
      <c r="C286" s="291"/>
      <c r="D286" s="750"/>
      <c r="E286" s="750"/>
      <c r="F286" s="750"/>
      <c r="G286" s="750"/>
      <c r="H286" s="750"/>
      <c r="I286" s="750"/>
      <c r="J286" s="750"/>
      <c r="K286" s="750"/>
      <c r="L286" s="750"/>
      <c r="M286" s="750"/>
      <c r="N286" s="750"/>
      <c r="O286" s="750"/>
      <c r="P286" s="750"/>
      <c r="Q286" s="750"/>
      <c r="R286" s="750"/>
      <c r="S286" s="750"/>
      <c r="T286" s="750"/>
      <c r="U286" s="750"/>
      <c r="V286" s="750"/>
      <c r="W286" s="750"/>
      <c r="X286" s="750"/>
      <c r="Y286" s="771"/>
      <c r="Z286" s="780"/>
      <c r="AA286" s="780"/>
      <c r="AB286" s="780"/>
      <c r="AC286" s="780"/>
      <c r="AD286" s="780"/>
      <c r="AE286" s="780"/>
      <c r="AF286" s="422"/>
      <c r="AG286" s="422"/>
      <c r="AH286" s="422"/>
      <c r="AI286" s="422"/>
      <c r="AJ286" s="422"/>
      <c r="AK286" s="422"/>
      <c r="AL286" s="422"/>
      <c r="AM286" s="306"/>
    </row>
    <row r="287" spans="2:39" ht="15.5" outlineLevel="1">
      <c r="B287" s="288" t="s">
        <v>498</v>
      </c>
      <c r="C287" s="291"/>
      <c r="D287" s="750"/>
      <c r="E287" s="750"/>
      <c r="F287" s="750"/>
      <c r="G287" s="750"/>
      <c r="H287" s="750"/>
      <c r="I287" s="750"/>
      <c r="J287" s="750"/>
      <c r="K287" s="750"/>
      <c r="L287" s="750"/>
      <c r="M287" s="750"/>
      <c r="N287" s="750"/>
      <c r="O287" s="750"/>
      <c r="P287" s="750"/>
      <c r="Q287" s="750"/>
      <c r="R287" s="750"/>
      <c r="S287" s="750"/>
      <c r="T287" s="750"/>
      <c r="U287" s="750"/>
      <c r="V287" s="750"/>
      <c r="W287" s="750"/>
      <c r="X287" s="750"/>
      <c r="Y287" s="771"/>
      <c r="Z287" s="780"/>
      <c r="AA287" s="780"/>
      <c r="AB287" s="780"/>
      <c r="AC287" s="780"/>
      <c r="AD287" s="780"/>
      <c r="AE287" s="780"/>
      <c r="AF287" s="422"/>
      <c r="AG287" s="422"/>
      <c r="AH287" s="422"/>
      <c r="AI287" s="422"/>
      <c r="AJ287" s="422"/>
      <c r="AK287" s="422"/>
      <c r="AL287" s="422"/>
      <c r="AM287" s="306"/>
    </row>
    <row r="288" spans="1:39" ht="15.5" outlineLevel="1">
      <c r="A288" s="516">
        <v>21</v>
      </c>
      <c r="B288" s="514" t="s">
        <v>113</v>
      </c>
      <c r="C288" s="291" t="s">
        <v>25</v>
      </c>
      <c r="D288" s="295">
        <f>'7.  Persistence Report'!AV117</f>
        <v>1959951</v>
      </c>
      <c r="E288" s="295">
        <f>'7.  Persistence Report'!AW117</f>
        <v>1959951</v>
      </c>
      <c r="F288" s="295">
        <f>'7.  Persistence Report'!AX117</f>
        <v>1959951</v>
      </c>
      <c r="G288" s="295">
        <f>'7.  Persistence Report'!AY117</f>
        <v>1959951</v>
      </c>
      <c r="H288" s="295">
        <f>'7.  Persistence Report'!AZ117</f>
        <v>1959951</v>
      </c>
      <c r="I288" s="295">
        <f>'7.  Persistence Report'!BA117</f>
        <v>1959951</v>
      </c>
      <c r="J288" s="295">
        <f>'7.  Persistence Report'!BB117</f>
        <v>1959951</v>
      </c>
      <c r="K288" s="295">
        <f>'7.  Persistence Report'!BC117</f>
        <v>1959654</v>
      </c>
      <c r="L288" s="295">
        <f>'7.  Persistence Report'!BD117</f>
        <v>1959654</v>
      </c>
      <c r="M288" s="295">
        <f>'7.  Persistence Report'!BE117</f>
        <v>1951081</v>
      </c>
      <c r="N288" s="750"/>
      <c r="O288" s="295">
        <f>'7.  Persistence Report'!Q117</f>
        <v>127</v>
      </c>
      <c r="P288" s="295">
        <f>'7.  Persistence Report'!R117</f>
        <v>127</v>
      </c>
      <c r="Q288" s="295">
        <f>'7.  Persistence Report'!S117</f>
        <v>127</v>
      </c>
      <c r="R288" s="295">
        <f>'7.  Persistence Report'!T117</f>
        <v>127</v>
      </c>
      <c r="S288" s="295">
        <f>'7.  Persistence Report'!U117</f>
        <v>127</v>
      </c>
      <c r="T288" s="295">
        <f>'7.  Persistence Report'!V117</f>
        <v>127</v>
      </c>
      <c r="U288" s="295">
        <f>'7.  Persistence Report'!W117</f>
        <v>127</v>
      </c>
      <c r="V288" s="295">
        <f>'7.  Persistence Report'!X117</f>
        <v>127</v>
      </c>
      <c r="W288" s="295">
        <f>'7.  Persistence Report'!Y117</f>
        <v>127</v>
      </c>
      <c r="X288" s="295">
        <f>'7.  Persistence Report'!Z117</f>
        <v>127</v>
      </c>
      <c r="Y288" s="759">
        <v>1</v>
      </c>
      <c r="Z288" s="759"/>
      <c r="AA288" s="759"/>
      <c r="AB288" s="759"/>
      <c r="AC288" s="759"/>
      <c r="AD288" s="759"/>
      <c r="AE288" s="759"/>
      <c r="AF288" s="409"/>
      <c r="AG288" s="409"/>
      <c r="AH288" s="409"/>
      <c r="AI288" s="409"/>
      <c r="AJ288" s="409"/>
      <c r="AK288" s="409"/>
      <c r="AL288" s="409"/>
      <c r="AM288" s="296">
        <f>SUM(Y288:AL288)</f>
        <v>1</v>
      </c>
    </row>
    <row r="289" spans="2:39" ht="15.5" outlineLevel="1">
      <c r="B289" s="294" t="s">
        <v>289</v>
      </c>
      <c r="C289" s="291" t="s">
        <v>163</v>
      </c>
      <c r="D289" s="295">
        <f>'7.  Persistence Report'!AV120</f>
        <v>219861</v>
      </c>
      <c r="E289" s="295">
        <f>'7.  Persistence Report'!AW120</f>
        <v>219861</v>
      </c>
      <c r="F289" s="295">
        <f>'7.  Persistence Report'!AX120</f>
        <v>219861</v>
      </c>
      <c r="G289" s="295">
        <f>'7.  Persistence Report'!AY120</f>
        <v>219861</v>
      </c>
      <c r="H289" s="295">
        <f>'7.  Persistence Report'!AZ120</f>
        <v>219861</v>
      </c>
      <c r="I289" s="295">
        <f>'7.  Persistence Report'!BA120</f>
        <v>219861</v>
      </c>
      <c r="J289" s="295">
        <f>'7.  Persistence Report'!BB120</f>
        <v>219861</v>
      </c>
      <c r="K289" s="295">
        <f>'7.  Persistence Report'!BC120</f>
        <v>219841</v>
      </c>
      <c r="L289" s="295">
        <f>'7.  Persistence Report'!BD120</f>
        <v>219841</v>
      </c>
      <c r="M289" s="295">
        <f>'7.  Persistence Report'!BE120</f>
        <v>220168</v>
      </c>
      <c r="N289" s="750"/>
      <c r="O289" s="295">
        <f>'7.  Persistence Report'!Q120</f>
        <v>14</v>
      </c>
      <c r="P289" s="295">
        <f>'7.  Persistence Report'!R120</f>
        <v>14</v>
      </c>
      <c r="Q289" s="295">
        <f>'7.  Persistence Report'!S120</f>
        <v>14</v>
      </c>
      <c r="R289" s="295">
        <f>'7.  Persistence Report'!T120</f>
        <v>14</v>
      </c>
      <c r="S289" s="295">
        <f>'7.  Persistence Report'!U120</f>
        <v>14</v>
      </c>
      <c r="T289" s="295">
        <f>'7.  Persistence Report'!V120</f>
        <v>14</v>
      </c>
      <c r="U289" s="295">
        <f>'7.  Persistence Report'!W120</f>
        <v>14</v>
      </c>
      <c r="V289" s="295">
        <f>'7.  Persistence Report'!X120</f>
        <v>14</v>
      </c>
      <c r="W289" s="295">
        <f>'7.  Persistence Report'!Y120</f>
        <v>14</v>
      </c>
      <c r="X289" s="295">
        <f>'7.  Persistence Report'!Z120</f>
        <v>14</v>
      </c>
      <c r="Y289" s="760">
        <f>Y288</f>
        <v>1</v>
      </c>
      <c r="Z289" s="760">
        <f t="shared" si="440" ref="Z289:AE289">Z288</f>
        <v>0</v>
      </c>
      <c r="AA289" s="760">
        <f t="shared" si="440"/>
        <v>0</v>
      </c>
      <c r="AB289" s="760">
        <f t="shared" si="440"/>
        <v>0</v>
      </c>
      <c r="AC289" s="760">
        <f t="shared" si="440"/>
        <v>0</v>
      </c>
      <c r="AD289" s="760">
        <f t="shared" si="440"/>
        <v>0</v>
      </c>
      <c r="AE289" s="760">
        <f t="shared" si="440"/>
        <v>0</v>
      </c>
      <c r="AF289" s="410">
        <f t="shared" si="441" ref="AF289">AF288</f>
        <v>0</v>
      </c>
      <c r="AG289" s="410">
        <f t="shared" si="442" ref="AG289">AG288</f>
        <v>0</v>
      </c>
      <c r="AH289" s="410">
        <f t="shared" si="443" ref="AH289">AH288</f>
        <v>0</v>
      </c>
      <c r="AI289" s="410">
        <f t="shared" si="444" ref="AI289">AI288</f>
        <v>0</v>
      </c>
      <c r="AJ289" s="410">
        <f t="shared" si="445" ref="AJ289">AJ288</f>
        <v>0</v>
      </c>
      <c r="AK289" s="410">
        <f t="shared" si="446" ref="AK289">AK288</f>
        <v>0</v>
      </c>
      <c r="AL289" s="410">
        <f t="shared" si="447" ref="AL289">AL288</f>
        <v>0</v>
      </c>
      <c r="AM289" s="306"/>
    </row>
    <row r="290" spans="2:39" ht="15.5" outlineLevel="1">
      <c r="B290" s="294"/>
      <c r="C290" s="291"/>
      <c r="D290" s="750"/>
      <c r="E290" s="750"/>
      <c r="F290" s="750"/>
      <c r="G290" s="750"/>
      <c r="H290" s="750"/>
      <c r="I290" s="750"/>
      <c r="J290" s="750"/>
      <c r="K290" s="750"/>
      <c r="L290" s="750"/>
      <c r="M290" s="750"/>
      <c r="N290" s="750"/>
      <c r="O290" s="750"/>
      <c r="P290" s="750"/>
      <c r="Q290" s="750"/>
      <c r="R290" s="750"/>
      <c r="S290" s="750"/>
      <c r="T290" s="750"/>
      <c r="U290" s="750"/>
      <c r="V290" s="750"/>
      <c r="W290" s="750"/>
      <c r="X290" s="750"/>
      <c r="Y290" s="771"/>
      <c r="Z290" s="780"/>
      <c r="AA290" s="780"/>
      <c r="AB290" s="780"/>
      <c r="AC290" s="780"/>
      <c r="AD290" s="780"/>
      <c r="AE290" s="780"/>
      <c r="AF290" s="422"/>
      <c r="AG290" s="422"/>
      <c r="AH290" s="422"/>
      <c r="AI290" s="422"/>
      <c r="AJ290" s="422"/>
      <c r="AK290" s="422"/>
      <c r="AL290" s="422"/>
      <c r="AM290" s="306"/>
    </row>
    <row r="291" spans="1:39" ht="31" outlineLevel="1">
      <c r="A291" s="516">
        <v>22</v>
      </c>
      <c r="B291" s="514" t="s">
        <v>114</v>
      </c>
      <c r="C291" s="291" t="s">
        <v>25</v>
      </c>
      <c r="D291" s="295">
        <f>'7.  Persistence Report'!AV118</f>
        <v>410272</v>
      </c>
      <c r="E291" s="295">
        <f>'7.  Persistence Report'!AW118</f>
        <v>410272</v>
      </c>
      <c r="F291" s="295">
        <f>'7.  Persistence Report'!AX118</f>
        <v>410272</v>
      </c>
      <c r="G291" s="295">
        <f>'7.  Persistence Report'!AY118</f>
        <v>410272</v>
      </c>
      <c r="H291" s="295">
        <f>'7.  Persistence Report'!AZ118</f>
        <v>410272</v>
      </c>
      <c r="I291" s="295">
        <f>'7.  Persistence Report'!BA118</f>
        <v>410272</v>
      </c>
      <c r="J291" s="295">
        <f>'7.  Persistence Report'!BB118</f>
        <v>410272</v>
      </c>
      <c r="K291" s="295">
        <f>'7.  Persistence Report'!BC118</f>
        <v>410272</v>
      </c>
      <c r="L291" s="295">
        <f>'7.  Persistence Report'!BD118</f>
        <v>410272</v>
      </c>
      <c r="M291" s="295">
        <f>'7.  Persistence Report'!BE118</f>
        <v>410272</v>
      </c>
      <c r="N291" s="750"/>
      <c r="O291" s="295">
        <f>'7.  Persistence Report'!Q118</f>
        <v>123</v>
      </c>
      <c r="P291" s="295">
        <f>'7.  Persistence Report'!R118</f>
        <v>123</v>
      </c>
      <c r="Q291" s="295">
        <f>'7.  Persistence Report'!S118</f>
        <v>123</v>
      </c>
      <c r="R291" s="295">
        <f>'7.  Persistence Report'!T118</f>
        <v>123</v>
      </c>
      <c r="S291" s="295">
        <f>'7.  Persistence Report'!U118</f>
        <v>123</v>
      </c>
      <c r="T291" s="295">
        <f>'7.  Persistence Report'!V118</f>
        <v>123</v>
      </c>
      <c r="U291" s="295">
        <f>'7.  Persistence Report'!W118</f>
        <v>123</v>
      </c>
      <c r="V291" s="295">
        <f>'7.  Persistence Report'!X118</f>
        <v>123</v>
      </c>
      <c r="W291" s="295">
        <f>'7.  Persistence Report'!Y118</f>
        <v>123</v>
      </c>
      <c r="X291" s="295">
        <f>'7.  Persistence Report'!Z118</f>
        <v>123</v>
      </c>
      <c r="Y291" s="759">
        <v>1</v>
      </c>
      <c r="Z291" s="759"/>
      <c r="AA291" s="759"/>
      <c r="AB291" s="759"/>
      <c r="AC291" s="759"/>
      <c r="AD291" s="759"/>
      <c r="AE291" s="759"/>
      <c r="AF291" s="409"/>
      <c r="AG291" s="409"/>
      <c r="AH291" s="409"/>
      <c r="AI291" s="409"/>
      <c r="AJ291" s="409"/>
      <c r="AK291" s="409"/>
      <c r="AL291" s="409"/>
      <c r="AM291" s="296">
        <f>SUM(Y291:AL291)</f>
        <v>1</v>
      </c>
    </row>
    <row r="292" spans="2:39" ht="15.5" outlineLevel="1">
      <c r="B292" s="294" t="s">
        <v>289</v>
      </c>
      <c r="C292" s="291" t="s">
        <v>163</v>
      </c>
      <c r="D292" s="295">
        <f>'7.  Persistence Report'!AV121</f>
        <v>5836</v>
      </c>
      <c r="E292" s="295">
        <f>'7.  Persistence Report'!AW121</f>
        <v>5836</v>
      </c>
      <c r="F292" s="295">
        <f>'7.  Persistence Report'!AX121</f>
        <v>5836</v>
      </c>
      <c r="G292" s="295">
        <f>'7.  Persistence Report'!AY121</f>
        <v>5836</v>
      </c>
      <c r="H292" s="295">
        <f>'7.  Persistence Report'!AZ121</f>
        <v>5836</v>
      </c>
      <c r="I292" s="295">
        <f>'7.  Persistence Report'!BA121</f>
        <v>5836</v>
      </c>
      <c r="J292" s="295">
        <f>'7.  Persistence Report'!BB121</f>
        <v>5836</v>
      </c>
      <c r="K292" s="295">
        <f>'7.  Persistence Report'!BC121</f>
        <v>5836</v>
      </c>
      <c r="L292" s="295">
        <f>'7.  Persistence Report'!BD121</f>
        <v>5836</v>
      </c>
      <c r="M292" s="295">
        <f>'7.  Persistence Report'!BE121</f>
        <v>5836</v>
      </c>
      <c r="N292" s="750"/>
      <c r="O292" s="295">
        <f>'7.  Persistence Report'!Q121</f>
        <v>2</v>
      </c>
      <c r="P292" s="295">
        <f>'7.  Persistence Report'!R121</f>
        <v>2</v>
      </c>
      <c r="Q292" s="295">
        <f>'7.  Persistence Report'!S121</f>
        <v>2</v>
      </c>
      <c r="R292" s="295">
        <f>'7.  Persistence Report'!T121</f>
        <v>2</v>
      </c>
      <c r="S292" s="295">
        <f>'7.  Persistence Report'!U121</f>
        <v>2</v>
      </c>
      <c r="T292" s="295">
        <f>'7.  Persistence Report'!V121</f>
        <v>2</v>
      </c>
      <c r="U292" s="295">
        <f>'7.  Persistence Report'!W121</f>
        <v>2</v>
      </c>
      <c r="V292" s="295">
        <f>'7.  Persistence Report'!X121</f>
        <v>2</v>
      </c>
      <c r="W292" s="295">
        <f>'7.  Persistence Report'!Y121</f>
        <v>2</v>
      </c>
      <c r="X292" s="295">
        <f>'7.  Persistence Report'!Z121</f>
        <v>2</v>
      </c>
      <c r="Y292" s="760">
        <f>Y291</f>
        <v>1</v>
      </c>
      <c r="Z292" s="760">
        <f t="shared" si="448" ref="Z292:AE292">Z291</f>
        <v>0</v>
      </c>
      <c r="AA292" s="760">
        <f t="shared" si="448"/>
        <v>0</v>
      </c>
      <c r="AB292" s="760">
        <f t="shared" si="448"/>
        <v>0</v>
      </c>
      <c r="AC292" s="760">
        <f t="shared" si="448"/>
        <v>0</v>
      </c>
      <c r="AD292" s="760">
        <f t="shared" si="448"/>
        <v>0</v>
      </c>
      <c r="AE292" s="760">
        <f t="shared" si="448"/>
        <v>0</v>
      </c>
      <c r="AF292" s="410">
        <f t="shared" si="449" ref="AF292">AF291</f>
        <v>0</v>
      </c>
      <c r="AG292" s="410">
        <f t="shared" si="450" ref="AG292">AG291</f>
        <v>0</v>
      </c>
      <c r="AH292" s="410">
        <f t="shared" si="451" ref="AH292">AH291</f>
        <v>0</v>
      </c>
      <c r="AI292" s="410">
        <f t="shared" si="452" ref="AI292">AI291</f>
        <v>0</v>
      </c>
      <c r="AJ292" s="410">
        <f t="shared" si="453" ref="AJ292">AJ291</f>
        <v>0</v>
      </c>
      <c r="AK292" s="410">
        <f t="shared" si="454" ref="AK292">AK291</f>
        <v>0</v>
      </c>
      <c r="AL292" s="410">
        <f t="shared" si="455" ref="AL292">AL291</f>
        <v>0</v>
      </c>
      <c r="AM292" s="306"/>
    </row>
    <row r="293" spans="2:39" ht="15.5" outlineLevel="1">
      <c r="B293" s="294"/>
      <c r="C293" s="291"/>
      <c r="D293" s="750"/>
      <c r="E293" s="750"/>
      <c r="F293" s="750"/>
      <c r="G293" s="750"/>
      <c r="H293" s="750"/>
      <c r="I293" s="750"/>
      <c r="J293" s="750"/>
      <c r="K293" s="750"/>
      <c r="L293" s="750"/>
      <c r="M293" s="750"/>
      <c r="N293" s="750"/>
      <c r="O293" s="750"/>
      <c r="P293" s="750"/>
      <c r="Q293" s="750"/>
      <c r="R293" s="750"/>
      <c r="S293" s="750"/>
      <c r="T293" s="750"/>
      <c r="U293" s="750"/>
      <c r="V293" s="750"/>
      <c r="W293" s="750"/>
      <c r="X293" s="750"/>
      <c r="Y293" s="771"/>
      <c r="Z293" s="780"/>
      <c r="AA293" s="780"/>
      <c r="AB293" s="780"/>
      <c r="AC293" s="780"/>
      <c r="AD293" s="780"/>
      <c r="AE293" s="780"/>
      <c r="AF293" s="422"/>
      <c r="AG293" s="422"/>
      <c r="AH293" s="422"/>
      <c r="AI293" s="422"/>
      <c r="AJ293" s="422"/>
      <c r="AK293" s="422"/>
      <c r="AL293" s="422"/>
      <c r="AM293" s="306"/>
    </row>
    <row r="294" spans="1:39" ht="31" outlineLevel="1">
      <c r="A294" s="516">
        <v>23</v>
      </c>
      <c r="B294" s="514" t="s">
        <v>115</v>
      </c>
      <c r="C294" s="291" t="s">
        <v>25</v>
      </c>
      <c r="D294" s="295"/>
      <c r="E294" s="295"/>
      <c r="F294" s="295"/>
      <c r="G294" s="295"/>
      <c r="H294" s="295"/>
      <c r="I294" s="295"/>
      <c r="J294" s="295"/>
      <c r="K294" s="295"/>
      <c r="L294" s="295"/>
      <c r="M294" s="295"/>
      <c r="N294" s="750"/>
      <c r="O294" s="295"/>
      <c r="P294" s="295"/>
      <c r="Q294" s="295"/>
      <c r="R294" s="295"/>
      <c r="S294" s="295"/>
      <c r="T294" s="295"/>
      <c r="U294" s="295"/>
      <c r="V294" s="295"/>
      <c r="W294" s="295"/>
      <c r="X294" s="295"/>
      <c r="Y294" s="759"/>
      <c r="Z294" s="759"/>
      <c r="AA294" s="759"/>
      <c r="AB294" s="759"/>
      <c r="AC294" s="759"/>
      <c r="AD294" s="759"/>
      <c r="AE294" s="759"/>
      <c r="AF294" s="409"/>
      <c r="AG294" s="409"/>
      <c r="AH294" s="409"/>
      <c r="AI294" s="409"/>
      <c r="AJ294" s="409"/>
      <c r="AK294" s="409"/>
      <c r="AL294" s="409"/>
      <c r="AM294" s="296">
        <f>SUM(Y294:AL294)</f>
        <v>0</v>
      </c>
    </row>
    <row r="295" spans="2:39" ht="15.5" outlineLevel="1">
      <c r="B295" s="294" t="s">
        <v>289</v>
      </c>
      <c r="C295" s="291" t="s">
        <v>163</v>
      </c>
      <c r="D295" s="295"/>
      <c r="E295" s="295"/>
      <c r="F295" s="295"/>
      <c r="G295" s="295"/>
      <c r="H295" s="295"/>
      <c r="I295" s="295"/>
      <c r="J295" s="295"/>
      <c r="K295" s="295"/>
      <c r="L295" s="295"/>
      <c r="M295" s="295"/>
      <c r="N295" s="750"/>
      <c r="O295" s="295"/>
      <c r="P295" s="295"/>
      <c r="Q295" s="295"/>
      <c r="R295" s="295"/>
      <c r="S295" s="295"/>
      <c r="T295" s="295"/>
      <c r="U295" s="295"/>
      <c r="V295" s="295"/>
      <c r="W295" s="295"/>
      <c r="X295" s="295"/>
      <c r="Y295" s="760">
        <f>Y294</f>
        <v>0</v>
      </c>
      <c r="Z295" s="760">
        <f t="shared" si="456" ref="Z295:AE295">Z294</f>
        <v>0</v>
      </c>
      <c r="AA295" s="760">
        <f t="shared" si="456"/>
        <v>0</v>
      </c>
      <c r="AB295" s="760">
        <f t="shared" si="456"/>
        <v>0</v>
      </c>
      <c r="AC295" s="760">
        <f t="shared" si="456"/>
        <v>0</v>
      </c>
      <c r="AD295" s="760">
        <f t="shared" si="456"/>
        <v>0</v>
      </c>
      <c r="AE295" s="760">
        <f t="shared" si="456"/>
        <v>0</v>
      </c>
      <c r="AF295" s="410">
        <f t="shared" si="457" ref="AF295">AF294</f>
        <v>0</v>
      </c>
      <c r="AG295" s="410">
        <f t="shared" si="458" ref="AG295">AG294</f>
        <v>0</v>
      </c>
      <c r="AH295" s="410">
        <f t="shared" si="459" ref="AH295">AH294</f>
        <v>0</v>
      </c>
      <c r="AI295" s="410">
        <f t="shared" si="460" ref="AI295">AI294</f>
        <v>0</v>
      </c>
      <c r="AJ295" s="410">
        <f t="shared" si="461" ref="AJ295">AJ294</f>
        <v>0</v>
      </c>
      <c r="AK295" s="410">
        <f t="shared" si="462" ref="AK295">AK294</f>
        <v>0</v>
      </c>
      <c r="AL295" s="410">
        <f t="shared" si="463" ref="AL295">AL294</f>
        <v>0</v>
      </c>
      <c r="AM295" s="306"/>
    </row>
    <row r="296" spans="2:39" ht="15.5" outlineLevel="1">
      <c r="B296" s="321"/>
      <c r="C296" s="291"/>
      <c r="D296" s="750"/>
      <c r="E296" s="750"/>
      <c r="F296" s="750"/>
      <c r="G296" s="750"/>
      <c r="H296" s="750"/>
      <c r="I296" s="750"/>
      <c r="J296" s="750"/>
      <c r="K296" s="750"/>
      <c r="L296" s="750"/>
      <c r="M296" s="750"/>
      <c r="N296" s="750"/>
      <c r="O296" s="750"/>
      <c r="P296" s="750"/>
      <c r="Q296" s="750"/>
      <c r="R296" s="750"/>
      <c r="S296" s="750"/>
      <c r="T296" s="750"/>
      <c r="U296" s="750"/>
      <c r="V296" s="750"/>
      <c r="W296" s="750"/>
      <c r="X296" s="750"/>
      <c r="Y296" s="771"/>
      <c r="Z296" s="780"/>
      <c r="AA296" s="780"/>
      <c r="AB296" s="780"/>
      <c r="AC296" s="780"/>
      <c r="AD296" s="780"/>
      <c r="AE296" s="780"/>
      <c r="AF296" s="422"/>
      <c r="AG296" s="422"/>
      <c r="AH296" s="422"/>
      <c r="AI296" s="422"/>
      <c r="AJ296" s="422"/>
      <c r="AK296" s="422"/>
      <c r="AL296" s="422"/>
      <c r="AM296" s="306"/>
    </row>
    <row r="297" spans="1:39" ht="15.5" outlineLevel="1">
      <c r="A297" s="516">
        <v>24</v>
      </c>
      <c r="B297" s="514" t="s">
        <v>116</v>
      </c>
      <c r="C297" s="291" t="s">
        <v>25</v>
      </c>
      <c r="D297" s="295"/>
      <c r="E297" s="295"/>
      <c r="F297" s="295"/>
      <c r="G297" s="295"/>
      <c r="H297" s="295"/>
      <c r="I297" s="295"/>
      <c r="J297" s="295"/>
      <c r="K297" s="295"/>
      <c r="L297" s="295"/>
      <c r="M297" s="295"/>
      <c r="N297" s="750"/>
      <c r="O297" s="295"/>
      <c r="P297" s="295"/>
      <c r="Q297" s="295"/>
      <c r="R297" s="295"/>
      <c r="S297" s="295"/>
      <c r="T297" s="295"/>
      <c r="U297" s="295"/>
      <c r="V297" s="295"/>
      <c r="W297" s="295"/>
      <c r="X297" s="295"/>
      <c r="Y297" s="759"/>
      <c r="Z297" s="759"/>
      <c r="AA297" s="759"/>
      <c r="AB297" s="759"/>
      <c r="AC297" s="759"/>
      <c r="AD297" s="759"/>
      <c r="AE297" s="759"/>
      <c r="AF297" s="409"/>
      <c r="AG297" s="409"/>
      <c r="AH297" s="409"/>
      <c r="AI297" s="409"/>
      <c r="AJ297" s="409"/>
      <c r="AK297" s="409"/>
      <c r="AL297" s="409"/>
      <c r="AM297" s="296">
        <f>SUM(Y297:AL297)</f>
        <v>0</v>
      </c>
    </row>
    <row r="298" spans="2:39" ht="15.5" outlineLevel="1">
      <c r="B298" s="294" t="s">
        <v>289</v>
      </c>
      <c r="C298" s="291" t="s">
        <v>163</v>
      </c>
      <c r="D298" s="295"/>
      <c r="E298" s="295"/>
      <c r="F298" s="295"/>
      <c r="G298" s="295"/>
      <c r="H298" s="295"/>
      <c r="I298" s="295"/>
      <c r="J298" s="295"/>
      <c r="K298" s="295"/>
      <c r="L298" s="295"/>
      <c r="M298" s="295"/>
      <c r="N298" s="750"/>
      <c r="O298" s="295"/>
      <c r="P298" s="295"/>
      <c r="Q298" s="295"/>
      <c r="R298" s="295"/>
      <c r="S298" s="295"/>
      <c r="T298" s="295"/>
      <c r="U298" s="295"/>
      <c r="V298" s="295"/>
      <c r="W298" s="295"/>
      <c r="X298" s="295"/>
      <c r="Y298" s="760">
        <f>Y297</f>
        <v>0</v>
      </c>
      <c r="Z298" s="760">
        <f t="shared" si="464" ref="Z298:AE298">Z297</f>
        <v>0</v>
      </c>
      <c r="AA298" s="760">
        <f t="shared" si="464"/>
        <v>0</v>
      </c>
      <c r="AB298" s="760">
        <f t="shared" si="464"/>
        <v>0</v>
      </c>
      <c r="AC298" s="760">
        <f t="shared" si="464"/>
        <v>0</v>
      </c>
      <c r="AD298" s="760">
        <f t="shared" si="464"/>
        <v>0</v>
      </c>
      <c r="AE298" s="760">
        <f t="shared" si="464"/>
        <v>0</v>
      </c>
      <c r="AF298" s="410">
        <f t="shared" si="465" ref="AF298">AF297</f>
        <v>0</v>
      </c>
      <c r="AG298" s="410">
        <f t="shared" si="466" ref="AG298">AG297</f>
        <v>0</v>
      </c>
      <c r="AH298" s="410">
        <f t="shared" si="467" ref="AH298">AH297</f>
        <v>0</v>
      </c>
      <c r="AI298" s="410">
        <f t="shared" si="468" ref="AI298">AI297</f>
        <v>0</v>
      </c>
      <c r="AJ298" s="410">
        <f t="shared" si="469" ref="AJ298">AJ297</f>
        <v>0</v>
      </c>
      <c r="AK298" s="410">
        <f t="shared" si="470" ref="AK298">AK297</f>
        <v>0</v>
      </c>
      <c r="AL298" s="410">
        <f t="shared" si="471" ref="AL298">AL297</f>
        <v>0</v>
      </c>
      <c r="AM298" s="306"/>
    </row>
    <row r="299" spans="2:39" ht="15.5" outlineLevel="1">
      <c r="B299" s="294"/>
      <c r="C299" s="291"/>
      <c r="D299" s="750"/>
      <c r="E299" s="750"/>
      <c r="F299" s="750"/>
      <c r="G299" s="750"/>
      <c r="H299" s="750"/>
      <c r="I299" s="750"/>
      <c r="J299" s="750"/>
      <c r="K299" s="750"/>
      <c r="L299" s="750"/>
      <c r="M299" s="750"/>
      <c r="N299" s="750"/>
      <c r="O299" s="750"/>
      <c r="P299" s="750"/>
      <c r="Q299" s="750"/>
      <c r="R299" s="750"/>
      <c r="S299" s="750"/>
      <c r="T299" s="750"/>
      <c r="U299" s="750"/>
      <c r="V299" s="750"/>
      <c r="W299" s="750"/>
      <c r="X299" s="750"/>
      <c r="Y299" s="761"/>
      <c r="Z299" s="780"/>
      <c r="AA299" s="780"/>
      <c r="AB299" s="780"/>
      <c r="AC299" s="780"/>
      <c r="AD299" s="780"/>
      <c r="AE299" s="780"/>
      <c r="AF299" s="422"/>
      <c r="AG299" s="422"/>
      <c r="AH299" s="422"/>
      <c r="AI299" s="422"/>
      <c r="AJ299" s="422"/>
      <c r="AK299" s="422"/>
      <c r="AL299" s="422"/>
      <c r="AM299" s="306"/>
    </row>
    <row r="300" spans="2:39" ht="15.5" outlineLevel="1">
      <c r="B300" s="288" t="s">
        <v>499</v>
      </c>
      <c r="C300" s="291"/>
      <c r="D300" s="750"/>
      <c r="E300" s="750"/>
      <c r="F300" s="750"/>
      <c r="G300" s="750"/>
      <c r="H300" s="750"/>
      <c r="I300" s="750"/>
      <c r="J300" s="750"/>
      <c r="K300" s="750"/>
      <c r="L300" s="750"/>
      <c r="M300" s="750"/>
      <c r="N300" s="750"/>
      <c r="O300" s="750"/>
      <c r="P300" s="750"/>
      <c r="Q300" s="750"/>
      <c r="R300" s="750"/>
      <c r="S300" s="750"/>
      <c r="T300" s="750"/>
      <c r="U300" s="750"/>
      <c r="V300" s="750"/>
      <c r="W300" s="750"/>
      <c r="X300" s="750"/>
      <c r="Y300" s="761"/>
      <c r="Z300" s="780"/>
      <c r="AA300" s="780"/>
      <c r="AB300" s="780"/>
      <c r="AC300" s="780"/>
      <c r="AD300" s="780"/>
      <c r="AE300" s="780"/>
      <c r="AF300" s="422"/>
      <c r="AG300" s="422"/>
      <c r="AH300" s="422"/>
      <c r="AI300" s="422"/>
      <c r="AJ300" s="422"/>
      <c r="AK300" s="422"/>
      <c r="AL300" s="422"/>
      <c r="AM300" s="306"/>
    </row>
    <row r="301" spans="1:39" ht="15.5" outlineLevel="1">
      <c r="A301" s="516">
        <v>25</v>
      </c>
      <c r="B301" s="514"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776"/>
      <c r="Z301" s="759"/>
      <c r="AA301" s="759"/>
      <c r="AB301" s="759"/>
      <c r="AC301" s="759"/>
      <c r="AD301" s="759"/>
      <c r="AE301" s="759"/>
      <c r="AF301" s="409"/>
      <c r="AG301" s="414"/>
      <c r="AH301" s="414"/>
      <c r="AI301" s="414"/>
      <c r="AJ301" s="414"/>
      <c r="AK301" s="414"/>
      <c r="AL301" s="414"/>
      <c r="AM301" s="296">
        <f>SUM(Y301:AL301)</f>
        <v>0</v>
      </c>
    </row>
    <row r="302" spans="2:39" ht="15.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760">
        <f>Y301</f>
        <v>0</v>
      </c>
      <c r="Z302" s="760">
        <f t="shared" si="472" ref="Z302:AE302">Z301</f>
        <v>0</v>
      </c>
      <c r="AA302" s="760">
        <f t="shared" si="472"/>
        <v>0</v>
      </c>
      <c r="AB302" s="760">
        <f t="shared" si="472"/>
        <v>0</v>
      </c>
      <c r="AC302" s="760">
        <f t="shared" si="472"/>
        <v>0</v>
      </c>
      <c r="AD302" s="760">
        <f t="shared" si="472"/>
        <v>0</v>
      </c>
      <c r="AE302" s="760">
        <f t="shared" si="472"/>
        <v>0</v>
      </c>
      <c r="AF302" s="410">
        <f t="shared" si="473" ref="AF302">AF301</f>
        <v>0</v>
      </c>
      <c r="AG302" s="410">
        <f t="shared" si="474" ref="AG302">AG301</f>
        <v>0</v>
      </c>
      <c r="AH302" s="410">
        <f t="shared" si="475" ref="AH302">AH301</f>
        <v>0</v>
      </c>
      <c r="AI302" s="410">
        <f t="shared" si="476" ref="AI302">AI301</f>
        <v>0</v>
      </c>
      <c r="AJ302" s="410">
        <f t="shared" si="477" ref="AJ302">AJ301</f>
        <v>0</v>
      </c>
      <c r="AK302" s="410">
        <f t="shared" si="478" ref="AK302">AK301</f>
        <v>0</v>
      </c>
      <c r="AL302" s="410">
        <f t="shared" si="479" ref="AL302">AL301</f>
        <v>0</v>
      </c>
      <c r="AM302" s="306"/>
    </row>
    <row r="303" spans="2:39" ht="15.5" outlineLevel="1">
      <c r="B303" s="294"/>
      <c r="C303" s="291"/>
      <c r="D303" s="750"/>
      <c r="E303" s="750"/>
      <c r="F303" s="750"/>
      <c r="G303" s="750"/>
      <c r="H303" s="750"/>
      <c r="I303" s="750"/>
      <c r="J303" s="750"/>
      <c r="K303" s="750"/>
      <c r="L303" s="750"/>
      <c r="M303" s="750"/>
      <c r="N303" s="750"/>
      <c r="O303" s="750"/>
      <c r="P303" s="750"/>
      <c r="Q303" s="750"/>
      <c r="R303" s="750"/>
      <c r="S303" s="750"/>
      <c r="T303" s="750"/>
      <c r="U303" s="750"/>
      <c r="V303" s="750"/>
      <c r="W303" s="750"/>
      <c r="X303" s="750"/>
      <c r="Y303" s="761"/>
      <c r="Z303" s="780"/>
      <c r="AA303" s="780"/>
      <c r="AB303" s="780"/>
      <c r="AC303" s="780"/>
      <c r="AD303" s="780"/>
      <c r="AE303" s="780"/>
      <c r="AF303" s="422"/>
      <c r="AG303" s="422"/>
      <c r="AH303" s="422"/>
      <c r="AI303" s="422"/>
      <c r="AJ303" s="422"/>
      <c r="AK303" s="422"/>
      <c r="AL303" s="422"/>
      <c r="AM303" s="306"/>
    </row>
    <row r="304" spans="1:39" ht="15.5" outlineLevel="1">
      <c r="A304" s="516">
        <v>26</v>
      </c>
      <c r="B304" s="514" t="s">
        <v>118</v>
      </c>
      <c r="C304" s="291" t="s">
        <v>25</v>
      </c>
      <c r="D304" s="295">
        <f>'7.  Persistence Report'!AV119</f>
        <v>2405084</v>
      </c>
      <c r="E304" s="295">
        <f>'7.  Persistence Report'!AW119</f>
        <v>2385368</v>
      </c>
      <c r="F304" s="295">
        <f>'7.  Persistence Report'!AX119</f>
        <v>2385368</v>
      </c>
      <c r="G304" s="295">
        <f>'7.  Persistence Report'!AY119</f>
        <v>2385368</v>
      </c>
      <c r="H304" s="295">
        <f>'7.  Persistence Report'!AZ119</f>
        <v>2385368</v>
      </c>
      <c r="I304" s="295">
        <f>'7.  Persistence Report'!BA119</f>
        <v>2340066</v>
      </c>
      <c r="J304" s="295">
        <f>'7.  Persistence Report'!BB119</f>
        <v>2340066</v>
      </c>
      <c r="K304" s="295">
        <f>'7.  Persistence Report'!BC119</f>
        <v>2340066</v>
      </c>
      <c r="L304" s="295">
        <f>'7.  Persistence Report'!BD119</f>
        <v>2340066</v>
      </c>
      <c r="M304" s="295">
        <f>'7.  Persistence Report'!BE119</f>
        <v>2340066</v>
      </c>
      <c r="N304" s="295">
        <v>12</v>
      </c>
      <c r="O304" s="295">
        <f>'7.  Persistence Report'!Q119</f>
        <v>132</v>
      </c>
      <c r="P304" s="295">
        <f>'7.  Persistence Report'!R119</f>
        <v>128</v>
      </c>
      <c r="Q304" s="295">
        <f>'7.  Persistence Report'!S119</f>
        <v>128</v>
      </c>
      <c r="R304" s="295">
        <f>'7.  Persistence Report'!T119</f>
        <v>128</v>
      </c>
      <c r="S304" s="295">
        <f>'7.  Persistence Report'!U119</f>
        <v>128</v>
      </c>
      <c r="T304" s="295">
        <f>'7.  Persistence Report'!V119</f>
        <v>120</v>
      </c>
      <c r="U304" s="295">
        <f>'7.  Persistence Report'!W119</f>
        <v>120</v>
      </c>
      <c r="V304" s="295">
        <f>'7.  Persistence Report'!X119</f>
        <v>120</v>
      </c>
      <c r="W304" s="295">
        <f>'7.  Persistence Report'!Y119</f>
        <v>120</v>
      </c>
      <c r="X304" s="295">
        <f>'7.  Persistence Report'!Z119</f>
        <v>120</v>
      </c>
      <c r="Y304" s="776"/>
      <c r="Z304" s="839">
        <f>6.18%/(1-AE304)</f>
        <v>0.12583995113011606</v>
      </c>
      <c r="AA304" s="839">
        <f>7.13%</f>
        <v>0.071300000000000002</v>
      </c>
      <c r="AB304" s="839">
        <f>35.81%</f>
        <v>0.35810000000000003</v>
      </c>
      <c r="AC304" s="759"/>
      <c r="AD304" s="759"/>
      <c r="AE304" s="759">
        <v>0.50890000000000002</v>
      </c>
      <c r="AF304" s="409"/>
      <c r="AG304" s="414"/>
      <c r="AH304" s="414"/>
      <c r="AI304" s="414"/>
      <c r="AJ304" s="414"/>
      <c r="AK304" s="414"/>
      <c r="AL304" s="414"/>
      <c r="AM304" s="296">
        <f>SUM(Y304:AL304)</f>
        <v>1.064139951130116</v>
      </c>
    </row>
    <row r="305" spans="2:39" ht="15.5" outlineLevel="1">
      <c r="B305" s="294" t="s">
        <v>289</v>
      </c>
      <c r="C305" s="291" t="s">
        <v>163</v>
      </c>
      <c r="D305" s="295">
        <f>'7.  Persistence Report'!AV122+'7.  Persistence Report'!AV142+'7.  Persistence Report'!AV140</f>
        <v>653330.64258719841</v>
      </c>
      <c r="E305" s="295">
        <f>'7.  Persistence Report'!AW122+'7.  Persistence Report'!AW142+'7.  Persistence Report'!AW140</f>
        <v>56711.323894931469</v>
      </c>
      <c r="F305" s="295">
        <f>'7.  Persistence Report'!AX122+'7.  Persistence Report'!AX142+'7.  Persistence Report'!AX140</f>
        <v>56711.323894931469</v>
      </c>
      <c r="G305" s="295">
        <f>'7.  Persistence Report'!AY122+'7.  Persistence Report'!AY142+'7.  Persistence Report'!AY140</f>
        <v>56711.323894931469</v>
      </c>
      <c r="H305" s="295">
        <f>'7.  Persistence Report'!AZ122+'7.  Persistence Report'!AZ142+'7.  Persistence Report'!AZ140</f>
        <v>56711.323894931469</v>
      </c>
      <c r="I305" s="295">
        <f>'7.  Persistence Report'!BA122+'7.  Persistence Report'!BA142</f>
        <v>1279544</v>
      </c>
      <c r="J305" s="295">
        <f>'7.  Persistence Report'!BB122+'7.  Persistence Report'!BB142</f>
        <v>1279544</v>
      </c>
      <c r="K305" s="295">
        <f>'7.  Persistence Report'!BC122+'7.  Persistence Report'!BC142</f>
        <v>1279544</v>
      </c>
      <c r="L305" s="295">
        <f>'7.  Persistence Report'!BD122+'7.  Persistence Report'!BD142</f>
        <v>1279544</v>
      </c>
      <c r="M305" s="295">
        <f>'7.  Persistence Report'!BE122+'7.  Persistence Report'!BE142</f>
        <v>1279544</v>
      </c>
      <c r="N305" s="295">
        <f>N304</f>
        <v>12</v>
      </c>
      <c r="O305" s="295">
        <f>'7.  Persistence Report'!Q122+'7.  Persistence Report'!Q142+'7.  Persistence Report'!Q140</f>
        <v>8.0613172896757703</v>
      </c>
      <c r="P305" s="295">
        <f>'7.  Persistence Report'!R122+'7.  Persistence Report'!R142+'7.  Persistence Report'!R140</f>
        <v>-64.386933466335591</v>
      </c>
      <c r="Q305" s="295">
        <f>'7.  Persistence Report'!S122+'7.  Persistence Report'!S142+'7.  Persistence Report'!S140</f>
        <v>-64.386933466335591</v>
      </c>
      <c r="R305" s="295">
        <f>'7.  Persistence Report'!T122+'7.  Persistence Report'!T142+'7.  Persistence Report'!T140</f>
        <v>-64.386933466335591</v>
      </c>
      <c r="S305" s="295">
        <f>'7.  Persistence Report'!U122+'7.  Persistence Report'!U142+'7.  Persistence Report'!U140</f>
        <v>-72.23549722059937</v>
      </c>
      <c r="T305" s="295">
        <f>'7.  Persistence Report'!V122+'7.  Persistence Report'!V142+'7.  Persistence Report'!V140</f>
        <v>89</v>
      </c>
      <c r="U305" s="295">
        <f>'7.  Persistence Report'!W122+'7.  Persistence Report'!W142+'7.  Persistence Report'!W140</f>
        <v>89</v>
      </c>
      <c r="V305" s="295">
        <f>'7.  Persistence Report'!X122+'7.  Persistence Report'!X142+'7.  Persistence Report'!X140</f>
        <v>89</v>
      </c>
      <c r="W305" s="295">
        <f>'7.  Persistence Report'!Y122+'7.  Persistence Report'!Y142+'7.  Persistence Report'!Y140</f>
        <v>89</v>
      </c>
      <c r="X305" s="295">
        <f>'7.  Persistence Report'!Z122+'7.  Persistence Report'!Z142+'7.  Persistence Report'!Z140</f>
        <v>89</v>
      </c>
      <c r="Y305" s="760">
        <f>Y304</f>
        <v>0</v>
      </c>
      <c r="Z305" s="760">
        <f t="shared" si="480" ref="Z305:AE305">Z304</f>
        <v>0.12583995113011606</v>
      </c>
      <c r="AA305" s="760">
        <f t="shared" si="480"/>
        <v>0.071300000000000002</v>
      </c>
      <c r="AB305" s="760">
        <f t="shared" si="480"/>
        <v>0.35810000000000003</v>
      </c>
      <c r="AC305" s="760">
        <f t="shared" si="480"/>
        <v>0</v>
      </c>
      <c r="AD305" s="760">
        <f t="shared" si="480"/>
        <v>0</v>
      </c>
      <c r="AE305" s="760">
        <f t="shared" si="480"/>
        <v>0.50890000000000002</v>
      </c>
      <c r="AF305" s="410">
        <f t="shared" si="481" ref="AF305">AF304</f>
        <v>0</v>
      </c>
      <c r="AG305" s="410">
        <f t="shared" si="482" ref="AG305">AG304</f>
        <v>0</v>
      </c>
      <c r="AH305" s="410">
        <f t="shared" si="483" ref="AH305">AH304</f>
        <v>0</v>
      </c>
      <c r="AI305" s="410">
        <f t="shared" si="484" ref="AI305">AI304</f>
        <v>0</v>
      </c>
      <c r="AJ305" s="410">
        <f t="shared" si="485" ref="AJ305">AJ304</f>
        <v>0</v>
      </c>
      <c r="AK305" s="410">
        <f t="shared" si="486" ref="AK305">AK304</f>
        <v>0</v>
      </c>
      <c r="AL305" s="410">
        <f t="shared" si="487" ref="AL305">AL304</f>
        <v>0</v>
      </c>
      <c r="AM305" s="306"/>
    </row>
    <row r="306" spans="2:39" ht="15.5" outlineLevel="1">
      <c r="B306" s="294"/>
      <c r="C306" s="291"/>
      <c r="D306" s="750"/>
      <c r="E306" s="750"/>
      <c r="F306" s="750"/>
      <c r="G306" s="750"/>
      <c r="H306" s="750"/>
      <c r="I306" s="750"/>
      <c r="J306" s="750"/>
      <c r="K306" s="750"/>
      <c r="L306" s="750"/>
      <c r="M306" s="750"/>
      <c r="N306" s="750"/>
      <c r="O306" s="750"/>
      <c r="P306" s="750"/>
      <c r="Q306" s="750"/>
      <c r="R306" s="750"/>
      <c r="S306" s="750"/>
      <c r="T306" s="750"/>
      <c r="U306" s="750"/>
      <c r="V306" s="750"/>
      <c r="W306" s="750"/>
      <c r="X306" s="750"/>
      <c r="Y306" s="761"/>
      <c r="Z306" s="780"/>
      <c r="AA306" s="780"/>
      <c r="AB306" s="780"/>
      <c r="AC306" s="780"/>
      <c r="AD306" s="780"/>
      <c r="AE306" s="780"/>
      <c r="AF306" s="422"/>
      <c r="AG306" s="422"/>
      <c r="AH306" s="422"/>
      <c r="AI306" s="422"/>
      <c r="AJ306" s="422"/>
      <c r="AK306" s="422"/>
      <c r="AL306" s="422"/>
      <c r="AM306" s="306"/>
    </row>
    <row r="307" spans="1:39" ht="31" outlineLevel="1">
      <c r="A307" s="516">
        <v>27</v>
      </c>
      <c r="B307" s="514"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776"/>
      <c r="Z307" s="759"/>
      <c r="AA307" s="759"/>
      <c r="AB307" s="759"/>
      <c r="AC307" s="759"/>
      <c r="AD307" s="759"/>
      <c r="AE307" s="759"/>
      <c r="AF307" s="409"/>
      <c r="AG307" s="414"/>
      <c r="AH307" s="414"/>
      <c r="AI307" s="414"/>
      <c r="AJ307" s="414"/>
      <c r="AK307" s="414"/>
      <c r="AL307" s="414"/>
      <c r="AM307" s="296">
        <f>SUM(Y307:AL307)</f>
        <v>0</v>
      </c>
    </row>
    <row r="308" spans="2:39" ht="15.5"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760">
        <f>Y307</f>
        <v>0</v>
      </c>
      <c r="Z308" s="760">
        <f t="shared" si="488" ref="Z308:AE308">Z307</f>
        <v>0</v>
      </c>
      <c r="AA308" s="760">
        <f t="shared" si="488"/>
        <v>0</v>
      </c>
      <c r="AB308" s="760">
        <f t="shared" si="488"/>
        <v>0</v>
      </c>
      <c r="AC308" s="760">
        <f t="shared" si="488"/>
        <v>0</v>
      </c>
      <c r="AD308" s="760">
        <f t="shared" si="488"/>
        <v>0</v>
      </c>
      <c r="AE308" s="760">
        <f t="shared" si="488"/>
        <v>0</v>
      </c>
      <c r="AF308" s="410">
        <f t="shared" si="489" ref="AF308">AF307</f>
        <v>0</v>
      </c>
      <c r="AG308" s="410">
        <f t="shared" si="490" ref="AG308">AG307</f>
        <v>0</v>
      </c>
      <c r="AH308" s="410">
        <f t="shared" si="491" ref="AH308">AH307</f>
        <v>0</v>
      </c>
      <c r="AI308" s="410">
        <f t="shared" si="492" ref="AI308">AI307</f>
        <v>0</v>
      </c>
      <c r="AJ308" s="410">
        <f t="shared" si="493" ref="AJ308">AJ307</f>
        <v>0</v>
      </c>
      <c r="AK308" s="410">
        <f t="shared" si="494" ref="AK308">AK307</f>
        <v>0</v>
      </c>
      <c r="AL308" s="410">
        <f t="shared" si="495" ref="AL308">AL307</f>
        <v>0</v>
      </c>
      <c r="AM308" s="306"/>
    </row>
    <row r="309" spans="2:39" ht="15.5" outlineLevel="1">
      <c r="B309" s="294"/>
      <c r="C309" s="291"/>
      <c r="D309" s="750"/>
      <c r="E309" s="750"/>
      <c r="F309" s="750"/>
      <c r="G309" s="750"/>
      <c r="H309" s="750"/>
      <c r="I309" s="750"/>
      <c r="J309" s="750"/>
      <c r="K309" s="750"/>
      <c r="L309" s="750"/>
      <c r="M309" s="750"/>
      <c r="N309" s="750"/>
      <c r="O309" s="750"/>
      <c r="P309" s="750"/>
      <c r="Q309" s="750"/>
      <c r="R309" s="750"/>
      <c r="S309" s="750"/>
      <c r="T309" s="750"/>
      <c r="U309" s="750"/>
      <c r="V309" s="750"/>
      <c r="W309" s="750"/>
      <c r="X309" s="750"/>
      <c r="Y309" s="761"/>
      <c r="Z309" s="780"/>
      <c r="AA309" s="780"/>
      <c r="AB309" s="780"/>
      <c r="AC309" s="780"/>
      <c r="AD309" s="780"/>
      <c r="AE309" s="780"/>
      <c r="AF309" s="422"/>
      <c r="AG309" s="422"/>
      <c r="AH309" s="422"/>
      <c r="AI309" s="422"/>
      <c r="AJ309" s="422"/>
      <c r="AK309" s="422"/>
      <c r="AL309" s="422"/>
      <c r="AM309" s="306"/>
    </row>
    <row r="310" spans="1:39" ht="31" outlineLevel="1">
      <c r="A310" s="516">
        <v>28</v>
      </c>
      <c r="B310" s="514"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776"/>
      <c r="Z310" s="759"/>
      <c r="AA310" s="759"/>
      <c r="AB310" s="759"/>
      <c r="AC310" s="759"/>
      <c r="AD310" s="759"/>
      <c r="AE310" s="759"/>
      <c r="AF310" s="409"/>
      <c r="AG310" s="414"/>
      <c r="AH310" s="414"/>
      <c r="AI310" s="414"/>
      <c r="AJ310" s="414"/>
      <c r="AK310" s="414"/>
      <c r="AL310" s="414"/>
      <c r="AM310" s="296">
        <f>SUM(Y310:AL310)</f>
        <v>0</v>
      </c>
    </row>
    <row r="311" spans="2:39" ht="15.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60">
        <f>Y310</f>
        <v>0</v>
      </c>
      <c r="Z311" s="760">
        <f t="shared" si="496" ref="Z311:AE311">Z310</f>
        <v>0</v>
      </c>
      <c r="AA311" s="760">
        <f t="shared" si="496"/>
        <v>0</v>
      </c>
      <c r="AB311" s="760">
        <f t="shared" si="496"/>
        <v>0</v>
      </c>
      <c r="AC311" s="760">
        <f t="shared" si="496"/>
        <v>0</v>
      </c>
      <c r="AD311" s="760">
        <f t="shared" si="496"/>
        <v>0</v>
      </c>
      <c r="AE311" s="760">
        <f t="shared" si="496"/>
        <v>0</v>
      </c>
      <c r="AF311" s="410">
        <f t="shared" si="497" ref="AF311">AF310</f>
        <v>0</v>
      </c>
      <c r="AG311" s="410">
        <f t="shared" si="498" ref="AG311">AG310</f>
        <v>0</v>
      </c>
      <c r="AH311" s="410">
        <f t="shared" si="499" ref="AH311">AH310</f>
        <v>0</v>
      </c>
      <c r="AI311" s="410">
        <f t="shared" si="500" ref="AI311">AI310</f>
        <v>0</v>
      </c>
      <c r="AJ311" s="410">
        <f t="shared" si="501" ref="AJ311">AJ310</f>
        <v>0</v>
      </c>
      <c r="AK311" s="410">
        <f t="shared" si="502" ref="AK311">AK310</f>
        <v>0</v>
      </c>
      <c r="AL311" s="410">
        <f t="shared" si="503" ref="AL311">AL310</f>
        <v>0</v>
      </c>
      <c r="AM311" s="306"/>
    </row>
    <row r="312" spans="2:39" ht="15.5" outlineLevel="1">
      <c r="B312" s="294"/>
      <c r="C312" s="291"/>
      <c r="D312" s="750"/>
      <c r="E312" s="750"/>
      <c r="F312" s="750"/>
      <c r="G312" s="750"/>
      <c r="H312" s="750"/>
      <c r="I312" s="750"/>
      <c r="J312" s="750"/>
      <c r="K312" s="750"/>
      <c r="L312" s="750"/>
      <c r="M312" s="750"/>
      <c r="N312" s="750"/>
      <c r="O312" s="750"/>
      <c r="P312" s="750"/>
      <c r="Q312" s="750"/>
      <c r="R312" s="750"/>
      <c r="S312" s="750"/>
      <c r="T312" s="750"/>
      <c r="U312" s="750"/>
      <c r="V312" s="750"/>
      <c r="W312" s="750"/>
      <c r="X312" s="750"/>
      <c r="Y312" s="761"/>
      <c r="Z312" s="780"/>
      <c r="AA312" s="780"/>
      <c r="AB312" s="780"/>
      <c r="AC312" s="780"/>
      <c r="AD312" s="780"/>
      <c r="AE312" s="780"/>
      <c r="AF312" s="422"/>
      <c r="AG312" s="422"/>
      <c r="AH312" s="422"/>
      <c r="AI312" s="422"/>
      <c r="AJ312" s="422"/>
      <c r="AK312" s="422"/>
      <c r="AL312" s="422"/>
      <c r="AM312" s="306"/>
    </row>
    <row r="313" spans="1:39" ht="31" outlineLevel="1">
      <c r="A313" s="516">
        <v>29</v>
      </c>
      <c r="B313" s="514"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76"/>
      <c r="Z313" s="759"/>
      <c r="AA313" s="759"/>
      <c r="AB313" s="759"/>
      <c r="AC313" s="759"/>
      <c r="AD313" s="759"/>
      <c r="AE313" s="759"/>
      <c r="AF313" s="409"/>
      <c r="AG313" s="414"/>
      <c r="AH313" s="414"/>
      <c r="AI313" s="414"/>
      <c r="AJ313" s="414"/>
      <c r="AK313" s="414"/>
      <c r="AL313" s="414"/>
      <c r="AM313" s="296">
        <f>SUM(Y313:AL313)</f>
        <v>0</v>
      </c>
    </row>
    <row r="314" spans="2:39" ht="15.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60">
        <f>Y313</f>
        <v>0</v>
      </c>
      <c r="Z314" s="760">
        <f t="shared" si="504" ref="Z314:AE314">Z313</f>
        <v>0</v>
      </c>
      <c r="AA314" s="760">
        <f t="shared" si="504"/>
        <v>0</v>
      </c>
      <c r="AB314" s="760">
        <f t="shared" si="504"/>
        <v>0</v>
      </c>
      <c r="AC314" s="760">
        <f t="shared" si="504"/>
        <v>0</v>
      </c>
      <c r="AD314" s="760">
        <f t="shared" si="504"/>
        <v>0</v>
      </c>
      <c r="AE314" s="760">
        <f t="shared" si="504"/>
        <v>0</v>
      </c>
      <c r="AF314" s="410">
        <f t="shared" si="505" ref="AF314">AF313</f>
        <v>0</v>
      </c>
      <c r="AG314" s="410">
        <f t="shared" si="506" ref="AG314">AG313</f>
        <v>0</v>
      </c>
      <c r="AH314" s="410">
        <f t="shared" si="507" ref="AH314">AH313</f>
        <v>0</v>
      </c>
      <c r="AI314" s="410">
        <f t="shared" si="508" ref="AI314">AI313</f>
        <v>0</v>
      </c>
      <c r="AJ314" s="410">
        <f t="shared" si="509" ref="AJ314">AJ313</f>
        <v>0</v>
      </c>
      <c r="AK314" s="410">
        <f t="shared" si="510" ref="AK314">AK313</f>
        <v>0</v>
      </c>
      <c r="AL314" s="410">
        <f t="shared" si="511" ref="AL314">AL313</f>
        <v>0</v>
      </c>
      <c r="AM314" s="306"/>
    </row>
    <row r="315" spans="2:39" ht="15.5" outlineLevel="1">
      <c r="B315" s="294"/>
      <c r="C315" s="291"/>
      <c r="D315" s="750"/>
      <c r="E315" s="750"/>
      <c r="F315" s="750"/>
      <c r="G315" s="750"/>
      <c r="H315" s="750"/>
      <c r="I315" s="750"/>
      <c r="J315" s="750"/>
      <c r="K315" s="750"/>
      <c r="L315" s="750"/>
      <c r="M315" s="750"/>
      <c r="N315" s="750"/>
      <c r="O315" s="750"/>
      <c r="P315" s="750"/>
      <c r="Q315" s="750"/>
      <c r="R315" s="750"/>
      <c r="S315" s="750"/>
      <c r="T315" s="750"/>
      <c r="U315" s="750"/>
      <c r="V315" s="750"/>
      <c r="W315" s="750"/>
      <c r="X315" s="750"/>
      <c r="Y315" s="761"/>
      <c r="Z315" s="780"/>
      <c r="AA315" s="780"/>
      <c r="AB315" s="780"/>
      <c r="AC315" s="780"/>
      <c r="AD315" s="780"/>
      <c r="AE315" s="780"/>
      <c r="AF315" s="422"/>
      <c r="AG315" s="422"/>
      <c r="AH315" s="422"/>
      <c r="AI315" s="422"/>
      <c r="AJ315" s="422"/>
      <c r="AK315" s="422"/>
      <c r="AL315" s="422"/>
      <c r="AM315" s="306"/>
    </row>
    <row r="316" spans="1:39" ht="31" outlineLevel="1">
      <c r="A316" s="516">
        <v>30</v>
      </c>
      <c r="B316" s="514"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776"/>
      <c r="Z316" s="759"/>
      <c r="AA316" s="759"/>
      <c r="AB316" s="759"/>
      <c r="AC316" s="759"/>
      <c r="AD316" s="759"/>
      <c r="AE316" s="759"/>
      <c r="AF316" s="409"/>
      <c r="AG316" s="414"/>
      <c r="AH316" s="414"/>
      <c r="AI316" s="414"/>
      <c r="AJ316" s="414"/>
      <c r="AK316" s="414"/>
      <c r="AL316" s="414"/>
      <c r="AM316" s="296">
        <f>SUM(Y316:AL316)</f>
        <v>0</v>
      </c>
    </row>
    <row r="317" spans="2:39" ht="15.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60">
        <f>Y316</f>
        <v>0</v>
      </c>
      <c r="Z317" s="760">
        <f t="shared" si="512" ref="Z317:AE317">Z316</f>
        <v>0</v>
      </c>
      <c r="AA317" s="760">
        <f t="shared" si="512"/>
        <v>0</v>
      </c>
      <c r="AB317" s="760">
        <f t="shared" si="512"/>
        <v>0</v>
      </c>
      <c r="AC317" s="760">
        <f t="shared" si="512"/>
        <v>0</v>
      </c>
      <c r="AD317" s="760">
        <f t="shared" si="512"/>
        <v>0</v>
      </c>
      <c r="AE317" s="760">
        <f t="shared" si="512"/>
        <v>0</v>
      </c>
      <c r="AF317" s="410">
        <f t="shared" si="513" ref="AF317">AF316</f>
        <v>0</v>
      </c>
      <c r="AG317" s="410">
        <f t="shared" si="514" ref="AG317">AG316</f>
        <v>0</v>
      </c>
      <c r="AH317" s="410">
        <f t="shared" si="515" ref="AH317">AH316</f>
        <v>0</v>
      </c>
      <c r="AI317" s="410">
        <f t="shared" si="516" ref="AI317">AI316</f>
        <v>0</v>
      </c>
      <c r="AJ317" s="410">
        <f t="shared" si="517" ref="AJ317">AJ316</f>
        <v>0</v>
      </c>
      <c r="AK317" s="410">
        <f t="shared" si="518" ref="AK317">AK316</f>
        <v>0</v>
      </c>
      <c r="AL317" s="410">
        <f t="shared" si="519" ref="AL317">AL316</f>
        <v>0</v>
      </c>
      <c r="AM317" s="306"/>
    </row>
    <row r="318" spans="2:39" ht="15.5" outlineLevel="1">
      <c r="B318" s="294"/>
      <c r="C318" s="291"/>
      <c r="D318" s="750"/>
      <c r="E318" s="750"/>
      <c r="F318" s="750"/>
      <c r="G318" s="750"/>
      <c r="H318" s="750"/>
      <c r="I318" s="750"/>
      <c r="J318" s="750"/>
      <c r="K318" s="750"/>
      <c r="L318" s="750"/>
      <c r="M318" s="750"/>
      <c r="N318" s="750"/>
      <c r="O318" s="750"/>
      <c r="P318" s="750"/>
      <c r="Q318" s="750"/>
      <c r="R318" s="750"/>
      <c r="S318" s="750"/>
      <c r="T318" s="750"/>
      <c r="U318" s="750"/>
      <c r="V318" s="750"/>
      <c r="W318" s="750"/>
      <c r="X318" s="750"/>
      <c r="Y318" s="761"/>
      <c r="Z318" s="780"/>
      <c r="AA318" s="780"/>
      <c r="AB318" s="780"/>
      <c r="AC318" s="780"/>
      <c r="AD318" s="780"/>
      <c r="AE318" s="780"/>
      <c r="AF318" s="422"/>
      <c r="AG318" s="422"/>
      <c r="AH318" s="422"/>
      <c r="AI318" s="422"/>
      <c r="AJ318" s="422"/>
      <c r="AK318" s="422"/>
      <c r="AL318" s="422"/>
      <c r="AM318" s="306"/>
    </row>
    <row r="319" spans="1:39" ht="31" outlineLevel="1">
      <c r="A319" s="516">
        <v>31</v>
      </c>
      <c r="B319" s="514"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76"/>
      <c r="Z319" s="759"/>
      <c r="AA319" s="759"/>
      <c r="AB319" s="759"/>
      <c r="AC319" s="759"/>
      <c r="AD319" s="759"/>
      <c r="AE319" s="759"/>
      <c r="AF319" s="409"/>
      <c r="AG319" s="414"/>
      <c r="AH319" s="414"/>
      <c r="AI319" s="414"/>
      <c r="AJ319" s="414"/>
      <c r="AK319" s="414"/>
      <c r="AL319" s="414"/>
      <c r="AM319" s="296">
        <f>SUM(Y319:AL319)</f>
        <v>0</v>
      </c>
    </row>
    <row r="320" spans="2:39" ht="15.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760">
        <f>Y319</f>
        <v>0</v>
      </c>
      <c r="Z320" s="760">
        <f t="shared" si="520" ref="Z320:AE320">Z319</f>
        <v>0</v>
      </c>
      <c r="AA320" s="760">
        <f t="shared" si="520"/>
        <v>0</v>
      </c>
      <c r="AB320" s="760">
        <f t="shared" si="520"/>
        <v>0</v>
      </c>
      <c r="AC320" s="760">
        <f t="shared" si="520"/>
        <v>0</v>
      </c>
      <c r="AD320" s="760">
        <f t="shared" si="520"/>
        <v>0</v>
      </c>
      <c r="AE320" s="760">
        <f t="shared" si="520"/>
        <v>0</v>
      </c>
      <c r="AF320" s="410">
        <f t="shared" si="521" ref="AF320">AF319</f>
        <v>0</v>
      </c>
      <c r="AG320" s="410">
        <f t="shared" si="522" ref="AG320">AG319</f>
        <v>0</v>
      </c>
      <c r="AH320" s="410">
        <f t="shared" si="523" ref="AH320">AH319</f>
        <v>0</v>
      </c>
      <c r="AI320" s="410">
        <f t="shared" si="524" ref="AI320">AI319</f>
        <v>0</v>
      </c>
      <c r="AJ320" s="410">
        <f t="shared" si="525" ref="AJ320">AJ319</f>
        <v>0</v>
      </c>
      <c r="AK320" s="410">
        <f t="shared" si="526" ref="AK320">AK319</f>
        <v>0</v>
      </c>
      <c r="AL320" s="410">
        <f t="shared" si="527" ref="AL320">AL319</f>
        <v>0</v>
      </c>
      <c r="AM320" s="306"/>
    </row>
    <row r="321" spans="2:39" ht="15.5" outlineLevel="1">
      <c r="B321" s="514"/>
      <c r="C321" s="291"/>
      <c r="D321" s="750"/>
      <c r="E321" s="750"/>
      <c r="F321" s="750"/>
      <c r="G321" s="750"/>
      <c r="H321" s="750"/>
      <c r="I321" s="750"/>
      <c r="J321" s="750"/>
      <c r="K321" s="750"/>
      <c r="L321" s="750"/>
      <c r="M321" s="750"/>
      <c r="N321" s="750"/>
      <c r="O321" s="750"/>
      <c r="P321" s="750"/>
      <c r="Q321" s="750"/>
      <c r="R321" s="750"/>
      <c r="S321" s="750"/>
      <c r="T321" s="750"/>
      <c r="U321" s="750"/>
      <c r="V321" s="750"/>
      <c r="W321" s="750"/>
      <c r="X321" s="750"/>
      <c r="Y321" s="761"/>
      <c r="Z321" s="780"/>
      <c r="AA321" s="780"/>
      <c r="AB321" s="780"/>
      <c r="AC321" s="780"/>
      <c r="AD321" s="780"/>
      <c r="AE321" s="780"/>
      <c r="AF321" s="422"/>
      <c r="AG321" s="422"/>
      <c r="AH321" s="422"/>
      <c r="AI321" s="422"/>
      <c r="AJ321" s="422"/>
      <c r="AK321" s="422"/>
      <c r="AL321" s="422"/>
      <c r="AM321" s="306"/>
    </row>
    <row r="322" spans="1:39" ht="15.5" outlineLevel="1">
      <c r="A322" s="516">
        <v>32</v>
      </c>
      <c r="B322" s="514"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776"/>
      <c r="Z322" s="759"/>
      <c r="AA322" s="759"/>
      <c r="AB322" s="759"/>
      <c r="AC322" s="759"/>
      <c r="AD322" s="759"/>
      <c r="AE322" s="759"/>
      <c r="AF322" s="409"/>
      <c r="AG322" s="414"/>
      <c r="AH322" s="414"/>
      <c r="AI322" s="414"/>
      <c r="AJ322" s="414"/>
      <c r="AK322" s="414"/>
      <c r="AL322" s="414"/>
      <c r="AM322" s="296">
        <f>SUM(Y322:AL322)</f>
        <v>0</v>
      </c>
    </row>
    <row r="323" spans="2:39" ht="15.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760">
        <f>Y322</f>
        <v>0</v>
      </c>
      <c r="Z323" s="760">
        <f t="shared" si="528" ref="Z323:AE323">Z322</f>
        <v>0</v>
      </c>
      <c r="AA323" s="760">
        <f t="shared" si="528"/>
        <v>0</v>
      </c>
      <c r="AB323" s="760">
        <f t="shared" si="528"/>
        <v>0</v>
      </c>
      <c r="AC323" s="760">
        <f t="shared" si="528"/>
        <v>0</v>
      </c>
      <c r="AD323" s="760">
        <f t="shared" si="528"/>
        <v>0</v>
      </c>
      <c r="AE323" s="760">
        <f t="shared" si="528"/>
        <v>0</v>
      </c>
      <c r="AF323" s="410">
        <f t="shared" si="529" ref="AF323">AF322</f>
        <v>0</v>
      </c>
      <c r="AG323" s="410">
        <f t="shared" si="530" ref="AG323">AG322</f>
        <v>0</v>
      </c>
      <c r="AH323" s="410">
        <f t="shared" si="531" ref="AH323">AH322</f>
        <v>0</v>
      </c>
      <c r="AI323" s="410">
        <f t="shared" si="532" ref="AI323">AI322</f>
        <v>0</v>
      </c>
      <c r="AJ323" s="410">
        <f t="shared" si="533" ref="AJ323">AJ322</f>
        <v>0</v>
      </c>
      <c r="AK323" s="410">
        <f t="shared" si="534" ref="AK323">AK322</f>
        <v>0</v>
      </c>
      <c r="AL323" s="410">
        <f t="shared" si="535" ref="AL323">AL322</f>
        <v>0</v>
      </c>
      <c r="AM323" s="306"/>
    </row>
    <row r="324" spans="2:39" ht="15.5" outlineLevel="1">
      <c r="B324" s="514"/>
      <c r="C324" s="291"/>
      <c r="D324" s="750"/>
      <c r="E324" s="750"/>
      <c r="F324" s="750"/>
      <c r="G324" s="750"/>
      <c r="H324" s="750"/>
      <c r="I324" s="750"/>
      <c r="J324" s="750"/>
      <c r="K324" s="750"/>
      <c r="L324" s="750"/>
      <c r="M324" s="750"/>
      <c r="N324" s="750"/>
      <c r="O324" s="750"/>
      <c r="P324" s="750"/>
      <c r="Q324" s="750"/>
      <c r="R324" s="750"/>
      <c r="S324" s="750"/>
      <c r="T324" s="750"/>
      <c r="U324" s="750"/>
      <c r="V324" s="750"/>
      <c r="W324" s="750"/>
      <c r="X324" s="750"/>
      <c r="Y324" s="761"/>
      <c r="Z324" s="780"/>
      <c r="AA324" s="780"/>
      <c r="AB324" s="780"/>
      <c r="AC324" s="780"/>
      <c r="AD324" s="780"/>
      <c r="AE324" s="780"/>
      <c r="AF324" s="422"/>
      <c r="AG324" s="422"/>
      <c r="AH324" s="422"/>
      <c r="AI324" s="422"/>
      <c r="AJ324" s="422"/>
      <c r="AK324" s="422"/>
      <c r="AL324" s="422"/>
      <c r="AM324" s="306"/>
    </row>
    <row r="325" spans="2:39" ht="15.5" outlineLevel="1">
      <c r="B325" s="288" t="s">
        <v>500</v>
      </c>
      <c r="C325" s="291"/>
      <c r="D325" s="750"/>
      <c r="E325" s="750"/>
      <c r="F325" s="750"/>
      <c r="G325" s="750"/>
      <c r="H325" s="750"/>
      <c r="I325" s="750"/>
      <c r="J325" s="750"/>
      <c r="K325" s="750"/>
      <c r="L325" s="750"/>
      <c r="M325" s="750"/>
      <c r="N325" s="750"/>
      <c r="O325" s="750"/>
      <c r="P325" s="750"/>
      <c r="Q325" s="750"/>
      <c r="R325" s="750"/>
      <c r="S325" s="750"/>
      <c r="T325" s="750"/>
      <c r="U325" s="750"/>
      <c r="V325" s="750"/>
      <c r="W325" s="750"/>
      <c r="X325" s="750"/>
      <c r="Y325" s="761"/>
      <c r="Z325" s="780"/>
      <c r="AA325" s="780"/>
      <c r="AB325" s="780"/>
      <c r="AC325" s="780"/>
      <c r="AD325" s="780"/>
      <c r="AE325" s="780"/>
      <c r="AF325" s="422"/>
      <c r="AG325" s="422"/>
      <c r="AH325" s="422"/>
      <c r="AI325" s="422"/>
      <c r="AJ325" s="422"/>
      <c r="AK325" s="422"/>
      <c r="AL325" s="422"/>
      <c r="AM325" s="306"/>
    </row>
    <row r="326" spans="1:39" ht="15.5" outlineLevel="1">
      <c r="A326" s="516">
        <v>33</v>
      </c>
      <c r="B326" s="514"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776"/>
      <c r="Z326" s="759"/>
      <c r="AA326" s="759"/>
      <c r="AB326" s="759"/>
      <c r="AC326" s="759"/>
      <c r="AD326" s="759"/>
      <c r="AE326" s="759"/>
      <c r="AF326" s="409"/>
      <c r="AG326" s="414"/>
      <c r="AH326" s="414"/>
      <c r="AI326" s="414"/>
      <c r="AJ326" s="414"/>
      <c r="AK326" s="414"/>
      <c r="AL326" s="414"/>
      <c r="AM326" s="296">
        <f>SUM(Y326:AL326)</f>
        <v>0</v>
      </c>
    </row>
    <row r="327" spans="2:39" ht="15.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760">
        <f>Y326</f>
        <v>0</v>
      </c>
      <c r="Z327" s="760">
        <f t="shared" si="536" ref="Z327:AE327">Z326</f>
        <v>0</v>
      </c>
      <c r="AA327" s="760">
        <f t="shared" si="536"/>
        <v>0</v>
      </c>
      <c r="AB327" s="760">
        <f t="shared" si="536"/>
        <v>0</v>
      </c>
      <c r="AC327" s="760">
        <f t="shared" si="536"/>
        <v>0</v>
      </c>
      <c r="AD327" s="760">
        <f t="shared" si="536"/>
        <v>0</v>
      </c>
      <c r="AE327" s="760">
        <f t="shared" si="536"/>
        <v>0</v>
      </c>
      <c r="AF327" s="410">
        <f t="shared" si="537" ref="AF327">AF326</f>
        <v>0</v>
      </c>
      <c r="AG327" s="410">
        <f t="shared" si="538" ref="AG327">AG326</f>
        <v>0</v>
      </c>
      <c r="AH327" s="410">
        <f t="shared" si="539" ref="AH327">AH326</f>
        <v>0</v>
      </c>
      <c r="AI327" s="410">
        <f t="shared" si="540" ref="AI327">AI326</f>
        <v>0</v>
      </c>
      <c r="AJ327" s="410">
        <f t="shared" si="541" ref="AJ327">AJ326</f>
        <v>0</v>
      </c>
      <c r="AK327" s="410">
        <f t="shared" si="542" ref="AK327">AK326</f>
        <v>0</v>
      </c>
      <c r="AL327" s="410">
        <f t="shared" si="543" ref="AL327">AL326</f>
        <v>0</v>
      </c>
      <c r="AM327" s="306"/>
    </row>
    <row r="328" spans="2:39" ht="15.5" outlineLevel="1">
      <c r="B328" s="514"/>
      <c r="C328" s="291"/>
      <c r="D328" s="750"/>
      <c r="E328" s="750"/>
      <c r="F328" s="750"/>
      <c r="G328" s="750"/>
      <c r="H328" s="750"/>
      <c r="I328" s="750"/>
      <c r="J328" s="750"/>
      <c r="K328" s="750"/>
      <c r="L328" s="750"/>
      <c r="M328" s="750"/>
      <c r="N328" s="750"/>
      <c r="O328" s="750"/>
      <c r="P328" s="750"/>
      <c r="Q328" s="750"/>
      <c r="R328" s="750"/>
      <c r="S328" s="750"/>
      <c r="T328" s="750"/>
      <c r="U328" s="750"/>
      <c r="V328" s="750"/>
      <c r="W328" s="750"/>
      <c r="X328" s="750"/>
      <c r="Y328" s="761"/>
      <c r="Z328" s="780"/>
      <c r="AA328" s="780"/>
      <c r="AB328" s="780"/>
      <c r="AC328" s="780"/>
      <c r="AD328" s="780"/>
      <c r="AE328" s="780"/>
      <c r="AF328" s="422"/>
      <c r="AG328" s="422"/>
      <c r="AH328" s="422"/>
      <c r="AI328" s="422"/>
      <c r="AJ328" s="422"/>
      <c r="AK328" s="422"/>
      <c r="AL328" s="422"/>
      <c r="AM328" s="306"/>
    </row>
    <row r="329" spans="1:39" ht="15.5" outlineLevel="1">
      <c r="A329" s="516">
        <v>34</v>
      </c>
      <c r="B329" s="514"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776"/>
      <c r="Z329" s="759"/>
      <c r="AA329" s="759"/>
      <c r="AB329" s="759"/>
      <c r="AC329" s="759"/>
      <c r="AD329" s="759"/>
      <c r="AE329" s="759"/>
      <c r="AF329" s="409"/>
      <c r="AG329" s="414"/>
      <c r="AH329" s="414"/>
      <c r="AI329" s="414"/>
      <c r="AJ329" s="414"/>
      <c r="AK329" s="414"/>
      <c r="AL329" s="414"/>
      <c r="AM329" s="296">
        <f>SUM(Y329:AL329)</f>
        <v>0</v>
      </c>
    </row>
    <row r="330" spans="2:39" ht="15.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760">
        <f>Y329</f>
        <v>0</v>
      </c>
      <c r="Z330" s="760">
        <f t="shared" si="544" ref="Z330:AE330">Z329</f>
        <v>0</v>
      </c>
      <c r="AA330" s="760">
        <f t="shared" si="544"/>
        <v>0</v>
      </c>
      <c r="AB330" s="760">
        <f t="shared" si="544"/>
        <v>0</v>
      </c>
      <c r="AC330" s="760">
        <f t="shared" si="544"/>
        <v>0</v>
      </c>
      <c r="AD330" s="760">
        <f t="shared" si="544"/>
        <v>0</v>
      </c>
      <c r="AE330" s="760">
        <f t="shared" si="544"/>
        <v>0</v>
      </c>
      <c r="AF330" s="410">
        <f t="shared" si="545" ref="AF330">AF329</f>
        <v>0</v>
      </c>
      <c r="AG330" s="410">
        <f t="shared" si="546" ref="AG330">AG329</f>
        <v>0</v>
      </c>
      <c r="AH330" s="410">
        <f t="shared" si="547" ref="AH330">AH329</f>
        <v>0</v>
      </c>
      <c r="AI330" s="410">
        <f t="shared" si="548" ref="AI330">AI329</f>
        <v>0</v>
      </c>
      <c r="AJ330" s="410">
        <f t="shared" si="549" ref="AJ330">AJ329</f>
        <v>0</v>
      </c>
      <c r="AK330" s="410">
        <f t="shared" si="550" ref="AK330">AK329</f>
        <v>0</v>
      </c>
      <c r="AL330" s="410">
        <f t="shared" si="551" ref="AL330">AL329</f>
        <v>0</v>
      </c>
      <c r="AM330" s="306"/>
    </row>
    <row r="331" spans="2:39" ht="15.5" outlineLevel="1">
      <c r="B331" s="514"/>
      <c r="C331" s="291"/>
      <c r="D331" s="750"/>
      <c r="E331" s="750"/>
      <c r="F331" s="750"/>
      <c r="G331" s="750"/>
      <c r="H331" s="750"/>
      <c r="I331" s="750"/>
      <c r="J331" s="750"/>
      <c r="K331" s="750"/>
      <c r="L331" s="750"/>
      <c r="M331" s="750"/>
      <c r="N331" s="750"/>
      <c r="O331" s="750"/>
      <c r="P331" s="750"/>
      <c r="Q331" s="750"/>
      <c r="R331" s="750"/>
      <c r="S331" s="750"/>
      <c r="T331" s="750"/>
      <c r="U331" s="750"/>
      <c r="V331" s="750"/>
      <c r="W331" s="750"/>
      <c r="X331" s="750"/>
      <c r="Y331" s="761"/>
      <c r="Z331" s="780"/>
      <c r="AA331" s="780"/>
      <c r="AB331" s="780"/>
      <c r="AC331" s="780"/>
      <c r="AD331" s="780"/>
      <c r="AE331" s="780"/>
      <c r="AF331" s="422"/>
      <c r="AG331" s="422"/>
      <c r="AH331" s="422"/>
      <c r="AI331" s="422"/>
      <c r="AJ331" s="422"/>
      <c r="AK331" s="422"/>
      <c r="AL331" s="422"/>
      <c r="AM331" s="306"/>
    </row>
    <row r="332" spans="1:39" ht="15.5" outlineLevel="1">
      <c r="A332" s="516">
        <v>35</v>
      </c>
      <c r="B332" s="514"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776"/>
      <c r="Z332" s="759"/>
      <c r="AA332" s="759"/>
      <c r="AB332" s="759"/>
      <c r="AC332" s="759"/>
      <c r="AD332" s="759"/>
      <c r="AE332" s="759"/>
      <c r="AF332" s="409"/>
      <c r="AG332" s="414"/>
      <c r="AH332" s="414"/>
      <c r="AI332" s="414"/>
      <c r="AJ332" s="414"/>
      <c r="AK332" s="414"/>
      <c r="AL332" s="414"/>
      <c r="AM332" s="296">
        <f>SUM(Y332:AL332)</f>
        <v>0</v>
      </c>
    </row>
    <row r="333" spans="2:39" ht="15.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760">
        <f>Y332</f>
        <v>0</v>
      </c>
      <c r="Z333" s="760">
        <f t="shared" si="552" ref="Z333:AE333">Z332</f>
        <v>0</v>
      </c>
      <c r="AA333" s="760">
        <f t="shared" si="552"/>
        <v>0</v>
      </c>
      <c r="AB333" s="760">
        <f t="shared" si="552"/>
        <v>0</v>
      </c>
      <c r="AC333" s="760">
        <f t="shared" si="552"/>
        <v>0</v>
      </c>
      <c r="AD333" s="760">
        <f t="shared" si="552"/>
        <v>0</v>
      </c>
      <c r="AE333" s="760">
        <f t="shared" si="552"/>
        <v>0</v>
      </c>
      <c r="AF333" s="410">
        <f t="shared" si="553" ref="AF333">AF332</f>
        <v>0</v>
      </c>
      <c r="AG333" s="410">
        <f t="shared" si="554" ref="AG333">AG332</f>
        <v>0</v>
      </c>
      <c r="AH333" s="410">
        <f t="shared" si="555" ref="AH333">AH332</f>
        <v>0</v>
      </c>
      <c r="AI333" s="410">
        <f t="shared" si="556" ref="AI333">AI332</f>
        <v>0</v>
      </c>
      <c r="AJ333" s="410">
        <f t="shared" si="557" ref="AJ333">AJ332</f>
        <v>0</v>
      </c>
      <c r="AK333" s="410">
        <f t="shared" si="558" ref="AK333">AK332</f>
        <v>0</v>
      </c>
      <c r="AL333" s="410">
        <f t="shared" si="559" ref="AL333">AL332</f>
        <v>0</v>
      </c>
      <c r="AM333" s="306"/>
    </row>
    <row r="334" spans="2:39" ht="15.5" outlineLevel="1">
      <c r="B334" s="294"/>
      <c r="C334" s="291"/>
      <c r="D334" s="750"/>
      <c r="E334" s="750"/>
      <c r="F334" s="750"/>
      <c r="G334" s="750"/>
      <c r="H334" s="750"/>
      <c r="I334" s="750"/>
      <c r="J334" s="750"/>
      <c r="K334" s="750"/>
      <c r="L334" s="750"/>
      <c r="M334" s="750"/>
      <c r="N334" s="750"/>
      <c r="O334" s="750"/>
      <c r="P334" s="750"/>
      <c r="Q334" s="750"/>
      <c r="R334" s="750"/>
      <c r="S334" s="750"/>
      <c r="T334" s="750"/>
      <c r="U334" s="750"/>
      <c r="V334" s="750"/>
      <c r="W334" s="750"/>
      <c r="X334" s="750"/>
      <c r="Y334" s="761"/>
      <c r="Z334" s="780"/>
      <c r="AA334" s="780"/>
      <c r="AB334" s="780"/>
      <c r="AC334" s="780"/>
      <c r="AD334" s="780"/>
      <c r="AE334" s="780"/>
      <c r="AF334" s="422"/>
      <c r="AG334" s="422"/>
      <c r="AH334" s="422"/>
      <c r="AI334" s="422"/>
      <c r="AJ334" s="422"/>
      <c r="AK334" s="422"/>
      <c r="AL334" s="422"/>
      <c r="AM334" s="306"/>
    </row>
    <row r="335" spans="2:39" ht="15.5" outlineLevel="1">
      <c r="B335" s="288" t="s">
        <v>501</v>
      </c>
      <c r="C335" s="291"/>
      <c r="D335" s="750"/>
      <c r="E335" s="750"/>
      <c r="F335" s="750"/>
      <c r="G335" s="750"/>
      <c r="H335" s="750"/>
      <c r="I335" s="750"/>
      <c r="J335" s="750"/>
      <c r="K335" s="750"/>
      <c r="L335" s="750"/>
      <c r="M335" s="750"/>
      <c r="N335" s="750"/>
      <c r="O335" s="750"/>
      <c r="P335" s="750"/>
      <c r="Q335" s="750"/>
      <c r="R335" s="750"/>
      <c r="S335" s="750"/>
      <c r="T335" s="750"/>
      <c r="U335" s="750"/>
      <c r="V335" s="750"/>
      <c r="W335" s="750"/>
      <c r="X335" s="750"/>
      <c r="Y335" s="761"/>
      <c r="Z335" s="780"/>
      <c r="AA335" s="780"/>
      <c r="AB335" s="780"/>
      <c r="AC335" s="780"/>
      <c r="AD335" s="780"/>
      <c r="AE335" s="780"/>
      <c r="AF335" s="422"/>
      <c r="AG335" s="422"/>
      <c r="AH335" s="422"/>
      <c r="AI335" s="422"/>
      <c r="AJ335" s="422"/>
      <c r="AK335" s="422"/>
      <c r="AL335" s="422"/>
      <c r="AM335" s="306"/>
    </row>
    <row r="336" spans="1:39" ht="46.5" outlineLevel="1">
      <c r="A336" s="516">
        <v>36</v>
      </c>
      <c r="B336" s="514"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776"/>
      <c r="Z336" s="759"/>
      <c r="AA336" s="759"/>
      <c r="AB336" s="759"/>
      <c r="AC336" s="759"/>
      <c r="AD336" s="759"/>
      <c r="AE336" s="759"/>
      <c r="AF336" s="409"/>
      <c r="AG336" s="414"/>
      <c r="AH336" s="414"/>
      <c r="AI336" s="414"/>
      <c r="AJ336" s="414"/>
      <c r="AK336" s="414"/>
      <c r="AL336" s="414"/>
      <c r="AM336" s="296">
        <f>SUM(Y336:AL336)</f>
        <v>0</v>
      </c>
    </row>
    <row r="337" spans="2:39" ht="15.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760">
        <f>Y336</f>
        <v>0</v>
      </c>
      <c r="Z337" s="760">
        <f t="shared" si="560" ref="Z337:AE337">Z336</f>
        <v>0</v>
      </c>
      <c r="AA337" s="760">
        <f t="shared" si="560"/>
        <v>0</v>
      </c>
      <c r="AB337" s="760">
        <f t="shared" si="560"/>
        <v>0</v>
      </c>
      <c r="AC337" s="760">
        <f t="shared" si="560"/>
        <v>0</v>
      </c>
      <c r="AD337" s="760">
        <f t="shared" si="560"/>
        <v>0</v>
      </c>
      <c r="AE337" s="760">
        <f t="shared" si="560"/>
        <v>0</v>
      </c>
      <c r="AF337" s="410">
        <f t="shared" si="561" ref="AF337">AF336</f>
        <v>0</v>
      </c>
      <c r="AG337" s="410">
        <f t="shared" si="562" ref="AG337">AG336</f>
        <v>0</v>
      </c>
      <c r="AH337" s="410">
        <f t="shared" si="563" ref="AH337">AH336</f>
        <v>0</v>
      </c>
      <c r="AI337" s="410">
        <f t="shared" si="564" ref="AI337">AI336</f>
        <v>0</v>
      </c>
      <c r="AJ337" s="410">
        <f t="shared" si="565" ref="AJ337">AJ336</f>
        <v>0</v>
      </c>
      <c r="AK337" s="410">
        <f t="shared" si="566" ref="AK337">AK336</f>
        <v>0</v>
      </c>
      <c r="AL337" s="410">
        <f t="shared" si="567" ref="AL337">AL336</f>
        <v>0</v>
      </c>
      <c r="AM337" s="306"/>
    </row>
    <row r="338" spans="2:39" ht="15.5" outlineLevel="1">
      <c r="B338" s="514"/>
      <c r="C338" s="291"/>
      <c r="D338" s="750"/>
      <c r="E338" s="750"/>
      <c r="F338" s="750"/>
      <c r="G338" s="750"/>
      <c r="H338" s="750"/>
      <c r="I338" s="750"/>
      <c r="J338" s="750"/>
      <c r="K338" s="750"/>
      <c r="L338" s="750"/>
      <c r="M338" s="750"/>
      <c r="N338" s="750"/>
      <c r="O338" s="750"/>
      <c r="P338" s="750"/>
      <c r="Q338" s="750"/>
      <c r="R338" s="750"/>
      <c r="S338" s="750"/>
      <c r="T338" s="750"/>
      <c r="U338" s="750"/>
      <c r="V338" s="750"/>
      <c r="W338" s="750"/>
      <c r="X338" s="750"/>
      <c r="Y338" s="761"/>
      <c r="Z338" s="780"/>
      <c r="AA338" s="780"/>
      <c r="AB338" s="780"/>
      <c r="AC338" s="780"/>
      <c r="AD338" s="780"/>
      <c r="AE338" s="780"/>
      <c r="AF338" s="422"/>
      <c r="AG338" s="422"/>
      <c r="AH338" s="422"/>
      <c r="AI338" s="422"/>
      <c r="AJ338" s="422"/>
      <c r="AK338" s="422"/>
      <c r="AL338" s="422"/>
      <c r="AM338" s="306"/>
    </row>
    <row r="339" spans="1:39" ht="31" outlineLevel="1">
      <c r="A339" s="516">
        <v>37</v>
      </c>
      <c r="B339" s="514"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776"/>
      <c r="Z339" s="759"/>
      <c r="AA339" s="759"/>
      <c r="AB339" s="759"/>
      <c r="AC339" s="759"/>
      <c r="AD339" s="759"/>
      <c r="AE339" s="759"/>
      <c r="AF339" s="409"/>
      <c r="AG339" s="414"/>
      <c r="AH339" s="414"/>
      <c r="AI339" s="414"/>
      <c r="AJ339" s="414"/>
      <c r="AK339" s="414"/>
      <c r="AL339" s="414"/>
      <c r="AM339" s="296">
        <f>SUM(Y339:AL339)</f>
        <v>0</v>
      </c>
    </row>
    <row r="340" spans="2:39" ht="15.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760">
        <f>Y339</f>
        <v>0</v>
      </c>
      <c r="Z340" s="760">
        <f t="shared" si="568" ref="Z340:AE340">Z339</f>
        <v>0</v>
      </c>
      <c r="AA340" s="760">
        <f t="shared" si="568"/>
        <v>0</v>
      </c>
      <c r="AB340" s="760">
        <f t="shared" si="568"/>
        <v>0</v>
      </c>
      <c r="AC340" s="760">
        <f t="shared" si="568"/>
        <v>0</v>
      </c>
      <c r="AD340" s="760">
        <f t="shared" si="568"/>
        <v>0</v>
      </c>
      <c r="AE340" s="760">
        <f t="shared" si="568"/>
        <v>0</v>
      </c>
      <c r="AF340" s="410">
        <f t="shared" si="569" ref="AF340">AF339</f>
        <v>0</v>
      </c>
      <c r="AG340" s="410">
        <f t="shared" si="570" ref="AG340">AG339</f>
        <v>0</v>
      </c>
      <c r="AH340" s="410">
        <f t="shared" si="571" ref="AH340">AH339</f>
        <v>0</v>
      </c>
      <c r="AI340" s="410">
        <f t="shared" si="572" ref="AI340">AI339</f>
        <v>0</v>
      </c>
      <c r="AJ340" s="410">
        <f t="shared" si="573" ref="AJ340">AJ339</f>
        <v>0</v>
      </c>
      <c r="AK340" s="410">
        <f t="shared" si="574" ref="AK340">AK339</f>
        <v>0</v>
      </c>
      <c r="AL340" s="410">
        <f t="shared" si="575" ref="AL340">AL339</f>
        <v>0</v>
      </c>
      <c r="AM340" s="306"/>
    </row>
    <row r="341" spans="2:39" ht="15.5" outlineLevel="1">
      <c r="B341" s="514"/>
      <c r="C341" s="291"/>
      <c r="D341" s="750"/>
      <c r="E341" s="750"/>
      <c r="F341" s="750"/>
      <c r="G341" s="750"/>
      <c r="H341" s="750"/>
      <c r="I341" s="750"/>
      <c r="J341" s="750"/>
      <c r="K341" s="750"/>
      <c r="L341" s="750"/>
      <c r="M341" s="750"/>
      <c r="N341" s="750"/>
      <c r="O341" s="750"/>
      <c r="P341" s="750"/>
      <c r="Q341" s="750"/>
      <c r="R341" s="750"/>
      <c r="S341" s="750"/>
      <c r="T341" s="750"/>
      <c r="U341" s="750"/>
      <c r="V341" s="750"/>
      <c r="W341" s="750"/>
      <c r="X341" s="750"/>
      <c r="Y341" s="761"/>
      <c r="Z341" s="780"/>
      <c r="AA341" s="780"/>
      <c r="AB341" s="780"/>
      <c r="AC341" s="780"/>
      <c r="AD341" s="780"/>
      <c r="AE341" s="780"/>
      <c r="AF341" s="422"/>
      <c r="AG341" s="422"/>
      <c r="AH341" s="422"/>
      <c r="AI341" s="422"/>
      <c r="AJ341" s="422"/>
      <c r="AK341" s="422"/>
      <c r="AL341" s="422"/>
      <c r="AM341" s="306"/>
    </row>
    <row r="342" spans="1:39" ht="15.5" outlineLevel="1">
      <c r="A342" s="516">
        <v>38</v>
      </c>
      <c r="B342" s="514"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776"/>
      <c r="Z342" s="759"/>
      <c r="AA342" s="759"/>
      <c r="AB342" s="759"/>
      <c r="AC342" s="759"/>
      <c r="AD342" s="759"/>
      <c r="AE342" s="759"/>
      <c r="AF342" s="409"/>
      <c r="AG342" s="414"/>
      <c r="AH342" s="414"/>
      <c r="AI342" s="414"/>
      <c r="AJ342" s="414"/>
      <c r="AK342" s="414"/>
      <c r="AL342" s="414"/>
      <c r="AM342" s="296">
        <f>SUM(Y342:AL342)</f>
        <v>0</v>
      </c>
    </row>
    <row r="343" spans="2: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760">
        <f>Y342</f>
        <v>0</v>
      </c>
      <c r="Z343" s="760">
        <f t="shared" si="576" ref="Z343:AE343">Z342</f>
        <v>0</v>
      </c>
      <c r="AA343" s="760">
        <f t="shared" si="576"/>
        <v>0</v>
      </c>
      <c r="AB343" s="760">
        <f t="shared" si="576"/>
        <v>0</v>
      </c>
      <c r="AC343" s="760">
        <f t="shared" si="576"/>
        <v>0</v>
      </c>
      <c r="AD343" s="760">
        <f t="shared" si="576"/>
        <v>0</v>
      </c>
      <c r="AE343" s="760">
        <f t="shared" si="576"/>
        <v>0</v>
      </c>
      <c r="AF343" s="410">
        <f t="shared" si="577" ref="AF343">AF342</f>
        <v>0</v>
      </c>
      <c r="AG343" s="410">
        <f t="shared" si="578" ref="AG343">AG342</f>
        <v>0</v>
      </c>
      <c r="AH343" s="410">
        <f t="shared" si="579" ref="AH343">AH342</f>
        <v>0</v>
      </c>
      <c r="AI343" s="410">
        <f t="shared" si="580" ref="AI343">AI342</f>
        <v>0</v>
      </c>
      <c r="AJ343" s="410">
        <f t="shared" si="581" ref="AJ343">AJ342</f>
        <v>0</v>
      </c>
      <c r="AK343" s="410">
        <f t="shared" si="582" ref="AK343">AK342</f>
        <v>0</v>
      </c>
      <c r="AL343" s="410">
        <f t="shared" si="583" ref="AL343">AL342</f>
        <v>0</v>
      </c>
      <c r="AM343" s="306"/>
    </row>
    <row r="344" spans="2:39" ht="15.5" outlineLevel="1">
      <c r="B344" s="514"/>
      <c r="C344" s="291"/>
      <c r="D344" s="750"/>
      <c r="E344" s="750"/>
      <c r="F344" s="750"/>
      <c r="G344" s="750"/>
      <c r="H344" s="750"/>
      <c r="I344" s="750"/>
      <c r="J344" s="750"/>
      <c r="K344" s="750"/>
      <c r="L344" s="750"/>
      <c r="M344" s="750"/>
      <c r="N344" s="750"/>
      <c r="O344" s="750"/>
      <c r="P344" s="750"/>
      <c r="Q344" s="750"/>
      <c r="R344" s="750"/>
      <c r="S344" s="750"/>
      <c r="T344" s="750"/>
      <c r="U344" s="750"/>
      <c r="V344" s="750"/>
      <c r="W344" s="750"/>
      <c r="X344" s="750"/>
      <c r="Y344" s="761"/>
      <c r="Z344" s="780"/>
      <c r="AA344" s="780"/>
      <c r="AB344" s="780"/>
      <c r="AC344" s="780"/>
      <c r="AD344" s="780"/>
      <c r="AE344" s="780"/>
      <c r="AF344" s="422"/>
      <c r="AG344" s="422"/>
      <c r="AH344" s="422"/>
      <c r="AI344" s="422"/>
      <c r="AJ344" s="422"/>
      <c r="AK344" s="422"/>
      <c r="AL344" s="422"/>
      <c r="AM344" s="306"/>
    </row>
    <row r="345" spans="1:39" ht="31" outlineLevel="1">
      <c r="A345" s="516">
        <v>39</v>
      </c>
      <c r="B345" s="514"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776"/>
      <c r="Z345" s="759"/>
      <c r="AA345" s="759"/>
      <c r="AB345" s="759"/>
      <c r="AC345" s="759"/>
      <c r="AD345" s="759"/>
      <c r="AE345" s="759"/>
      <c r="AF345" s="409"/>
      <c r="AG345" s="414"/>
      <c r="AH345" s="414"/>
      <c r="AI345" s="414"/>
      <c r="AJ345" s="414"/>
      <c r="AK345" s="414"/>
      <c r="AL345" s="414"/>
      <c r="AM345" s="296">
        <f>SUM(Y345:AL345)</f>
        <v>0</v>
      </c>
    </row>
    <row r="346" spans="2: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760">
        <f>Y345</f>
        <v>0</v>
      </c>
      <c r="Z346" s="760">
        <f t="shared" si="584" ref="Z346:AE346">Z345</f>
        <v>0</v>
      </c>
      <c r="AA346" s="760">
        <f t="shared" si="584"/>
        <v>0</v>
      </c>
      <c r="AB346" s="760">
        <f t="shared" si="584"/>
        <v>0</v>
      </c>
      <c r="AC346" s="760">
        <f t="shared" si="584"/>
        <v>0</v>
      </c>
      <c r="AD346" s="760">
        <f t="shared" si="584"/>
        <v>0</v>
      </c>
      <c r="AE346" s="760">
        <f t="shared" si="584"/>
        <v>0</v>
      </c>
      <c r="AF346" s="410">
        <f t="shared" si="585" ref="AF346">AF345</f>
        <v>0</v>
      </c>
      <c r="AG346" s="410">
        <f t="shared" si="586" ref="AG346">AG345</f>
        <v>0</v>
      </c>
      <c r="AH346" s="410">
        <f t="shared" si="587" ref="AH346">AH345</f>
        <v>0</v>
      </c>
      <c r="AI346" s="410">
        <f t="shared" si="588" ref="AI346">AI345</f>
        <v>0</v>
      </c>
      <c r="AJ346" s="410">
        <f t="shared" si="589" ref="AJ346">AJ345</f>
        <v>0</v>
      </c>
      <c r="AK346" s="410">
        <f t="shared" si="590" ref="AK346">AK345</f>
        <v>0</v>
      </c>
      <c r="AL346" s="410">
        <f t="shared" si="591" ref="AL346">AL345</f>
        <v>0</v>
      </c>
      <c r="AM346" s="306"/>
    </row>
    <row r="347" spans="2:39" ht="15.5" outlineLevel="1">
      <c r="B347" s="514"/>
      <c r="C347" s="291"/>
      <c r="D347" s="750"/>
      <c r="E347" s="750"/>
      <c r="F347" s="750"/>
      <c r="G347" s="750"/>
      <c r="H347" s="750"/>
      <c r="I347" s="750"/>
      <c r="J347" s="750"/>
      <c r="K347" s="750"/>
      <c r="L347" s="750"/>
      <c r="M347" s="750"/>
      <c r="N347" s="750"/>
      <c r="O347" s="750"/>
      <c r="P347" s="750"/>
      <c r="Q347" s="750"/>
      <c r="R347" s="750"/>
      <c r="S347" s="750"/>
      <c r="T347" s="750"/>
      <c r="U347" s="750"/>
      <c r="V347" s="750"/>
      <c r="W347" s="750"/>
      <c r="X347" s="750"/>
      <c r="Y347" s="761"/>
      <c r="Z347" s="780"/>
      <c r="AA347" s="780"/>
      <c r="AB347" s="780"/>
      <c r="AC347" s="780"/>
      <c r="AD347" s="780"/>
      <c r="AE347" s="780"/>
      <c r="AF347" s="422"/>
      <c r="AG347" s="422"/>
      <c r="AH347" s="422"/>
      <c r="AI347" s="422"/>
      <c r="AJ347" s="422"/>
      <c r="AK347" s="422"/>
      <c r="AL347" s="422"/>
      <c r="AM347" s="306"/>
    </row>
    <row r="348" spans="1:39" ht="31" outlineLevel="1">
      <c r="A348" s="516">
        <v>40</v>
      </c>
      <c r="B348" s="514"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776"/>
      <c r="Z348" s="759"/>
      <c r="AA348" s="759"/>
      <c r="AB348" s="759"/>
      <c r="AC348" s="759"/>
      <c r="AD348" s="759"/>
      <c r="AE348" s="759"/>
      <c r="AF348" s="409"/>
      <c r="AG348" s="414"/>
      <c r="AH348" s="414"/>
      <c r="AI348" s="414"/>
      <c r="AJ348" s="414"/>
      <c r="AK348" s="414"/>
      <c r="AL348" s="414"/>
      <c r="AM348" s="296">
        <f>SUM(Y348:AL348)</f>
        <v>0</v>
      </c>
    </row>
    <row r="349" spans="2: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760">
        <f>Y348</f>
        <v>0</v>
      </c>
      <c r="Z349" s="760">
        <f t="shared" si="592" ref="Z349:AE349">Z348</f>
        <v>0</v>
      </c>
      <c r="AA349" s="760">
        <f t="shared" si="592"/>
        <v>0</v>
      </c>
      <c r="AB349" s="760">
        <f t="shared" si="592"/>
        <v>0</v>
      </c>
      <c r="AC349" s="760">
        <f t="shared" si="592"/>
        <v>0</v>
      </c>
      <c r="AD349" s="760">
        <f t="shared" si="592"/>
        <v>0</v>
      </c>
      <c r="AE349" s="760">
        <f t="shared" si="592"/>
        <v>0</v>
      </c>
      <c r="AF349" s="410">
        <f t="shared" si="593" ref="AF349">AF348</f>
        <v>0</v>
      </c>
      <c r="AG349" s="410">
        <f t="shared" si="594" ref="AG349">AG348</f>
        <v>0</v>
      </c>
      <c r="AH349" s="410">
        <f t="shared" si="595" ref="AH349">AH348</f>
        <v>0</v>
      </c>
      <c r="AI349" s="410">
        <f t="shared" si="596" ref="AI349">AI348</f>
        <v>0</v>
      </c>
      <c r="AJ349" s="410">
        <f t="shared" si="597" ref="AJ349">AJ348</f>
        <v>0</v>
      </c>
      <c r="AK349" s="410">
        <f t="shared" si="598" ref="AK349">AK348</f>
        <v>0</v>
      </c>
      <c r="AL349" s="410">
        <f t="shared" si="599" ref="AL349">AL348</f>
        <v>0</v>
      </c>
      <c r="AM349" s="306"/>
    </row>
    <row r="350" spans="2:39" ht="15.5" outlineLevel="1">
      <c r="B350" s="514"/>
      <c r="C350" s="291"/>
      <c r="D350" s="750"/>
      <c r="E350" s="750"/>
      <c r="F350" s="750"/>
      <c r="G350" s="750"/>
      <c r="H350" s="750"/>
      <c r="I350" s="750"/>
      <c r="J350" s="750"/>
      <c r="K350" s="750"/>
      <c r="L350" s="750"/>
      <c r="M350" s="750"/>
      <c r="N350" s="750"/>
      <c r="O350" s="750"/>
      <c r="P350" s="750"/>
      <c r="Q350" s="750"/>
      <c r="R350" s="750"/>
      <c r="S350" s="750"/>
      <c r="T350" s="750"/>
      <c r="U350" s="750"/>
      <c r="V350" s="750"/>
      <c r="W350" s="750"/>
      <c r="X350" s="750"/>
      <c r="Y350" s="761"/>
      <c r="Z350" s="780"/>
      <c r="AA350" s="780"/>
      <c r="AB350" s="780"/>
      <c r="AC350" s="780"/>
      <c r="AD350" s="780"/>
      <c r="AE350" s="780"/>
      <c r="AF350" s="422"/>
      <c r="AG350" s="422"/>
      <c r="AH350" s="422"/>
      <c r="AI350" s="422"/>
      <c r="AJ350" s="422"/>
      <c r="AK350" s="422"/>
      <c r="AL350" s="422"/>
      <c r="AM350" s="306"/>
    </row>
    <row r="351" spans="1:39" ht="46.5" outlineLevel="1">
      <c r="A351" s="516">
        <v>41</v>
      </c>
      <c r="B351" s="514"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776"/>
      <c r="Z351" s="759"/>
      <c r="AA351" s="759"/>
      <c r="AB351" s="759"/>
      <c r="AC351" s="759"/>
      <c r="AD351" s="759"/>
      <c r="AE351" s="759"/>
      <c r="AF351" s="409"/>
      <c r="AG351" s="414"/>
      <c r="AH351" s="414"/>
      <c r="AI351" s="414"/>
      <c r="AJ351" s="414"/>
      <c r="AK351" s="414"/>
      <c r="AL351" s="414"/>
      <c r="AM351" s="296">
        <f>SUM(Y351:AL351)</f>
        <v>0</v>
      </c>
    </row>
    <row r="352" spans="2:39" ht="15.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760">
        <f>Y351</f>
        <v>0</v>
      </c>
      <c r="Z352" s="760">
        <f t="shared" si="600" ref="Z352:AE352">Z351</f>
        <v>0</v>
      </c>
      <c r="AA352" s="760">
        <f t="shared" si="600"/>
        <v>0</v>
      </c>
      <c r="AB352" s="760">
        <f t="shared" si="600"/>
        <v>0</v>
      </c>
      <c r="AC352" s="760">
        <f t="shared" si="600"/>
        <v>0</v>
      </c>
      <c r="AD352" s="760">
        <f t="shared" si="600"/>
        <v>0</v>
      </c>
      <c r="AE352" s="760">
        <f t="shared" si="600"/>
        <v>0</v>
      </c>
      <c r="AF352" s="410">
        <f t="shared" si="601" ref="AF352">AF351</f>
        <v>0</v>
      </c>
      <c r="AG352" s="410">
        <f t="shared" si="602" ref="AG352">AG351</f>
        <v>0</v>
      </c>
      <c r="AH352" s="410">
        <f t="shared" si="603" ref="AH352">AH351</f>
        <v>0</v>
      </c>
      <c r="AI352" s="410">
        <f t="shared" si="604" ref="AI352">AI351</f>
        <v>0</v>
      </c>
      <c r="AJ352" s="410">
        <f t="shared" si="605" ref="AJ352">AJ351</f>
        <v>0</v>
      </c>
      <c r="AK352" s="410">
        <f t="shared" si="606" ref="AK352">AK351</f>
        <v>0</v>
      </c>
      <c r="AL352" s="410">
        <f t="shared" si="607" ref="AL352">AL351</f>
        <v>0</v>
      </c>
      <c r="AM352" s="306"/>
    </row>
    <row r="353" spans="2:39" ht="15.5" outlineLevel="1">
      <c r="B353" s="514"/>
      <c r="C353" s="291"/>
      <c r="D353" s="750"/>
      <c r="E353" s="750"/>
      <c r="F353" s="750"/>
      <c r="G353" s="750"/>
      <c r="H353" s="750"/>
      <c r="I353" s="750"/>
      <c r="J353" s="750"/>
      <c r="K353" s="750"/>
      <c r="L353" s="750"/>
      <c r="M353" s="750"/>
      <c r="N353" s="750"/>
      <c r="O353" s="750"/>
      <c r="P353" s="750"/>
      <c r="Q353" s="750"/>
      <c r="R353" s="750"/>
      <c r="S353" s="750"/>
      <c r="T353" s="750"/>
      <c r="U353" s="750"/>
      <c r="V353" s="750"/>
      <c r="W353" s="750"/>
      <c r="X353" s="750"/>
      <c r="Y353" s="761"/>
      <c r="Z353" s="780"/>
      <c r="AA353" s="780"/>
      <c r="AB353" s="780"/>
      <c r="AC353" s="780"/>
      <c r="AD353" s="780"/>
      <c r="AE353" s="780"/>
      <c r="AF353" s="422"/>
      <c r="AG353" s="422"/>
      <c r="AH353" s="422"/>
      <c r="AI353" s="422"/>
      <c r="AJ353" s="422"/>
      <c r="AK353" s="422"/>
      <c r="AL353" s="422"/>
      <c r="AM353" s="306"/>
    </row>
    <row r="354" spans="1:39" ht="31" outlineLevel="1">
      <c r="A354" s="516">
        <v>42</v>
      </c>
      <c r="B354" s="514" t="s">
        <v>134</v>
      </c>
      <c r="C354" s="291" t="s">
        <v>25</v>
      </c>
      <c r="D354" s="295"/>
      <c r="E354" s="295"/>
      <c r="F354" s="295"/>
      <c r="G354" s="295"/>
      <c r="H354" s="295"/>
      <c r="I354" s="295"/>
      <c r="J354" s="295"/>
      <c r="K354" s="295"/>
      <c r="L354" s="295"/>
      <c r="M354" s="295"/>
      <c r="N354" s="750"/>
      <c r="O354" s="295"/>
      <c r="P354" s="295"/>
      <c r="Q354" s="295"/>
      <c r="R354" s="295"/>
      <c r="S354" s="295"/>
      <c r="T354" s="295"/>
      <c r="U354" s="295"/>
      <c r="V354" s="295"/>
      <c r="W354" s="295"/>
      <c r="X354" s="295"/>
      <c r="Y354" s="776"/>
      <c r="Z354" s="759"/>
      <c r="AA354" s="759"/>
      <c r="AB354" s="759"/>
      <c r="AC354" s="759"/>
      <c r="AD354" s="759"/>
      <c r="AE354" s="759"/>
      <c r="AF354" s="409"/>
      <c r="AG354" s="414"/>
      <c r="AH354" s="414"/>
      <c r="AI354" s="414"/>
      <c r="AJ354" s="414"/>
      <c r="AK354" s="414"/>
      <c r="AL354" s="414"/>
      <c r="AM354" s="296">
        <f>SUM(Y354:AL354)</f>
        <v>0</v>
      </c>
    </row>
    <row r="355" spans="2:39" ht="15.5" outlineLevel="1">
      <c r="B355" s="294" t="s">
        <v>289</v>
      </c>
      <c r="C355" s="291" t="s">
        <v>163</v>
      </c>
      <c r="D355" s="295"/>
      <c r="E355" s="295"/>
      <c r="F355" s="295"/>
      <c r="G355" s="295"/>
      <c r="H355" s="295"/>
      <c r="I355" s="295"/>
      <c r="J355" s="295"/>
      <c r="K355" s="295"/>
      <c r="L355" s="295"/>
      <c r="M355" s="295"/>
      <c r="N355" s="751"/>
      <c r="O355" s="295"/>
      <c r="P355" s="295"/>
      <c r="Q355" s="295"/>
      <c r="R355" s="295"/>
      <c r="S355" s="295"/>
      <c r="T355" s="295"/>
      <c r="U355" s="295"/>
      <c r="V355" s="295"/>
      <c r="W355" s="295"/>
      <c r="X355" s="295"/>
      <c r="Y355" s="760">
        <f>Y354</f>
        <v>0</v>
      </c>
      <c r="Z355" s="760">
        <f t="shared" si="608" ref="Z355:AE355">Z354</f>
        <v>0</v>
      </c>
      <c r="AA355" s="760">
        <f t="shared" si="608"/>
        <v>0</v>
      </c>
      <c r="AB355" s="760">
        <f t="shared" si="608"/>
        <v>0</v>
      </c>
      <c r="AC355" s="760">
        <f t="shared" si="608"/>
        <v>0</v>
      </c>
      <c r="AD355" s="760">
        <f t="shared" si="608"/>
        <v>0</v>
      </c>
      <c r="AE355" s="760">
        <f t="shared" si="608"/>
        <v>0</v>
      </c>
      <c r="AF355" s="410">
        <f t="shared" si="609" ref="AF355">AF354</f>
        <v>0</v>
      </c>
      <c r="AG355" s="410">
        <f t="shared" si="610" ref="AG355">AG354</f>
        <v>0</v>
      </c>
      <c r="AH355" s="410">
        <f t="shared" si="611" ref="AH355">AH354</f>
        <v>0</v>
      </c>
      <c r="AI355" s="410">
        <f t="shared" si="612" ref="AI355">AI354</f>
        <v>0</v>
      </c>
      <c r="AJ355" s="410">
        <f t="shared" si="613" ref="AJ355">AJ354</f>
        <v>0</v>
      </c>
      <c r="AK355" s="410">
        <f t="shared" si="614" ref="AK355">AK354</f>
        <v>0</v>
      </c>
      <c r="AL355" s="410">
        <f t="shared" si="615" ref="AL355">AL354</f>
        <v>0</v>
      </c>
      <c r="AM355" s="306"/>
    </row>
    <row r="356" spans="2:39" ht="15.5" outlineLevel="1">
      <c r="B356" s="514"/>
      <c r="C356" s="291"/>
      <c r="D356" s="750"/>
      <c r="E356" s="750"/>
      <c r="F356" s="750"/>
      <c r="G356" s="750"/>
      <c r="H356" s="750"/>
      <c r="I356" s="750"/>
      <c r="J356" s="750"/>
      <c r="K356" s="750"/>
      <c r="L356" s="750"/>
      <c r="M356" s="750"/>
      <c r="N356" s="750"/>
      <c r="O356" s="750"/>
      <c r="P356" s="750"/>
      <c r="Q356" s="750"/>
      <c r="R356" s="750"/>
      <c r="S356" s="750"/>
      <c r="T356" s="750"/>
      <c r="U356" s="750"/>
      <c r="V356" s="750"/>
      <c r="W356" s="750"/>
      <c r="X356" s="750"/>
      <c r="Y356" s="761"/>
      <c r="Z356" s="780"/>
      <c r="AA356" s="780"/>
      <c r="AB356" s="780"/>
      <c r="AC356" s="780"/>
      <c r="AD356" s="780"/>
      <c r="AE356" s="780"/>
      <c r="AF356" s="422"/>
      <c r="AG356" s="422"/>
      <c r="AH356" s="422"/>
      <c r="AI356" s="422"/>
      <c r="AJ356" s="422"/>
      <c r="AK356" s="422"/>
      <c r="AL356" s="422"/>
      <c r="AM356" s="306"/>
    </row>
    <row r="357" spans="1:39" ht="15.5" outlineLevel="1">
      <c r="A357" s="516">
        <v>43</v>
      </c>
      <c r="B357" s="514"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776"/>
      <c r="Z357" s="759"/>
      <c r="AA357" s="759"/>
      <c r="AB357" s="759"/>
      <c r="AC357" s="759"/>
      <c r="AD357" s="759"/>
      <c r="AE357" s="759"/>
      <c r="AF357" s="409"/>
      <c r="AG357" s="414"/>
      <c r="AH357" s="414"/>
      <c r="AI357" s="414"/>
      <c r="AJ357" s="414"/>
      <c r="AK357" s="414"/>
      <c r="AL357" s="414"/>
      <c r="AM357" s="296">
        <f>SUM(Y357:AL357)</f>
        <v>0</v>
      </c>
    </row>
    <row r="358" spans="2:39" ht="15.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760">
        <f>Y357</f>
        <v>0</v>
      </c>
      <c r="Z358" s="760">
        <f t="shared" si="616" ref="Z358:AE358">Z357</f>
        <v>0</v>
      </c>
      <c r="AA358" s="760">
        <f t="shared" si="616"/>
        <v>0</v>
      </c>
      <c r="AB358" s="760">
        <f t="shared" si="616"/>
        <v>0</v>
      </c>
      <c r="AC358" s="760">
        <f t="shared" si="616"/>
        <v>0</v>
      </c>
      <c r="AD358" s="760">
        <f t="shared" si="616"/>
        <v>0</v>
      </c>
      <c r="AE358" s="760">
        <f t="shared" si="616"/>
        <v>0</v>
      </c>
      <c r="AF358" s="410">
        <f t="shared" si="617" ref="AF358">AF357</f>
        <v>0</v>
      </c>
      <c r="AG358" s="410">
        <f t="shared" si="618" ref="AG358">AG357</f>
        <v>0</v>
      </c>
      <c r="AH358" s="410">
        <f t="shared" si="619" ref="AH358">AH357</f>
        <v>0</v>
      </c>
      <c r="AI358" s="410">
        <f t="shared" si="620" ref="AI358">AI357</f>
        <v>0</v>
      </c>
      <c r="AJ358" s="410">
        <f t="shared" si="621" ref="AJ358">AJ357</f>
        <v>0</v>
      </c>
      <c r="AK358" s="410">
        <f t="shared" si="622" ref="AK358">AK357</f>
        <v>0</v>
      </c>
      <c r="AL358" s="410">
        <f t="shared" si="623" ref="AL358">AL357</f>
        <v>0</v>
      </c>
      <c r="AM358" s="306"/>
    </row>
    <row r="359" spans="2:39" ht="15.5" outlineLevel="1">
      <c r="B359" s="514"/>
      <c r="C359" s="291"/>
      <c r="D359" s="750"/>
      <c r="E359" s="750"/>
      <c r="F359" s="750"/>
      <c r="G359" s="750"/>
      <c r="H359" s="750"/>
      <c r="I359" s="750"/>
      <c r="J359" s="750"/>
      <c r="K359" s="750"/>
      <c r="L359" s="750"/>
      <c r="M359" s="750"/>
      <c r="N359" s="750"/>
      <c r="O359" s="750"/>
      <c r="P359" s="750"/>
      <c r="Q359" s="750"/>
      <c r="R359" s="750"/>
      <c r="S359" s="750"/>
      <c r="T359" s="750"/>
      <c r="U359" s="750"/>
      <c r="V359" s="750"/>
      <c r="W359" s="750"/>
      <c r="X359" s="750"/>
      <c r="Y359" s="761"/>
      <c r="Z359" s="780"/>
      <c r="AA359" s="780"/>
      <c r="AB359" s="780"/>
      <c r="AC359" s="780"/>
      <c r="AD359" s="780"/>
      <c r="AE359" s="780"/>
      <c r="AF359" s="422"/>
      <c r="AG359" s="422"/>
      <c r="AH359" s="422"/>
      <c r="AI359" s="422"/>
      <c r="AJ359" s="422"/>
      <c r="AK359" s="422"/>
      <c r="AL359" s="422"/>
      <c r="AM359" s="306"/>
    </row>
    <row r="360" spans="1:39" ht="46.5" outlineLevel="1">
      <c r="A360" s="516">
        <v>44</v>
      </c>
      <c r="B360" s="514"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776"/>
      <c r="Z360" s="759"/>
      <c r="AA360" s="759"/>
      <c r="AB360" s="759"/>
      <c r="AC360" s="759"/>
      <c r="AD360" s="759"/>
      <c r="AE360" s="759"/>
      <c r="AF360" s="409"/>
      <c r="AG360" s="414"/>
      <c r="AH360" s="414"/>
      <c r="AI360" s="414"/>
      <c r="AJ360" s="414"/>
      <c r="AK360" s="414"/>
      <c r="AL360" s="414"/>
      <c r="AM360" s="296">
        <f>SUM(Y360:AL360)</f>
        <v>0</v>
      </c>
    </row>
    <row r="361" spans="2: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760">
        <f>Y360</f>
        <v>0</v>
      </c>
      <c r="Z361" s="760">
        <f t="shared" si="624" ref="Z361:AE361">Z360</f>
        <v>0</v>
      </c>
      <c r="AA361" s="760">
        <f t="shared" si="624"/>
        <v>0</v>
      </c>
      <c r="AB361" s="760">
        <f t="shared" si="624"/>
        <v>0</v>
      </c>
      <c r="AC361" s="760">
        <f t="shared" si="624"/>
        <v>0</v>
      </c>
      <c r="AD361" s="760">
        <f t="shared" si="624"/>
        <v>0</v>
      </c>
      <c r="AE361" s="760">
        <f t="shared" si="624"/>
        <v>0</v>
      </c>
      <c r="AF361" s="410">
        <f t="shared" si="625" ref="AF361">AF360</f>
        <v>0</v>
      </c>
      <c r="AG361" s="410">
        <f t="shared" si="626" ref="AG361">AG360</f>
        <v>0</v>
      </c>
      <c r="AH361" s="410">
        <f t="shared" si="627" ref="AH361">AH360</f>
        <v>0</v>
      </c>
      <c r="AI361" s="410">
        <f t="shared" si="628" ref="AI361">AI360</f>
        <v>0</v>
      </c>
      <c r="AJ361" s="410">
        <f t="shared" si="629" ref="AJ361">AJ360</f>
        <v>0</v>
      </c>
      <c r="AK361" s="410">
        <f t="shared" si="630" ref="AK361">AK360</f>
        <v>0</v>
      </c>
      <c r="AL361" s="410">
        <f t="shared" si="631" ref="AL361">AL360</f>
        <v>0</v>
      </c>
      <c r="AM361" s="306"/>
    </row>
    <row r="362" spans="2:39" ht="15.5" outlineLevel="1">
      <c r="B362" s="514"/>
      <c r="C362" s="291"/>
      <c r="D362" s="750"/>
      <c r="E362" s="750"/>
      <c r="F362" s="750"/>
      <c r="G362" s="750"/>
      <c r="H362" s="750"/>
      <c r="I362" s="750"/>
      <c r="J362" s="750"/>
      <c r="K362" s="750"/>
      <c r="L362" s="750"/>
      <c r="M362" s="750"/>
      <c r="N362" s="750"/>
      <c r="O362" s="750"/>
      <c r="P362" s="750"/>
      <c r="Q362" s="750"/>
      <c r="R362" s="750"/>
      <c r="S362" s="750"/>
      <c r="T362" s="750"/>
      <c r="U362" s="750"/>
      <c r="V362" s="750"/>
      <c r="W362" s="750"/>
      <c r="X362" s="750"/>
      <c r="Y362" s="761"/>
      <c r="Z362" s="780"/>
      <c r="AA362" s="780"/>
      <c r="AB362" s="780"/>
      <c r="AC362" s="780"/>
      <c r="AD362" s="780"/>
      <c r="AE362" s="780"/>
      <c r="AF362" s="422"/>
      <c r="AG362" s="422"/>
      <c r="AH362" s="422"/>
      <c r="AI362" s="422"/>
      <c r="AJ362" s="422"/>
      <c r="AK362" s="422"/>
      <c r="AL362" s="422"/>
      <c r="AM362" s="306"/>
    </row>
    <row r="363" spans="1:39" ht="31" outlineLevel="1">
      <c r="A363" s="516">
        <v>45</v>
      </c>
      <c r="B363" s="514"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776"/>
      <c r="Z363" s="759"/>
      <c r="AA363" s="759"/>
      <c r="AB363" s="759"/>
      <c r="AC363" s="759"/>
      <c r="AD363" s="759"/>
      <c r="AE363" s="759"/>
      <c r="AF363" s="409"/>
      <c r="AG363" s="414"/>
      <c r="AH363" s="414"/>
      <c r="AI363" s="414"/>
      <c r="AJ363" s="414"/>
      <c r="AK363" s="414"/>
      <c r="AL363" s="414"/>
      <c r="AM363" s="296">
        <f>SUM(Y363:AL363)</f>
        <v>0</v>
      </c>
    </row>
    <row r="364" spans="2: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760">
        <f>Y363</f>
        <v>0</v>
      </c>
      <c r="Z364" s="760">
        <f t="shared" si="632" ref="Z364:AE364">Z363</f>
        <v>0</v>
      </c>
      <c r="AA364" s="760">
        <f t="shared" si="632"/>
        <v>0</v>
      </c>
      <c r="AB364" s="760">
        <f t="shared" si="632"/>
        <v>0</v>
      </c>
      <c r="AC364" s="760">
        <f t="shared" si="632"/>
        <v>0</v>
      </c>
      <c r="AD364" s="760">
        <f t="shared" si="632"/>
        <v>0</v>
      </c>
      <c r="AE364" s="760">
        <f t="shared" si="632"/>
        <v>0</v>
      </c>
      <c r="AF364" s="410">
        <f t="shared" si="633" ref="AF364">AF363</f>
        <v>0</v>
      </c>
      <c r="AG364" s="410">
        <f t="shared" si="634" ref="AG364">AG363</f>
        <v>0</v>
      </c>
      <c r="AH364" s="410">
        <f t="shared" si="635" ref="AH364">AH363</f>
        <v>0</v>
      </c>
      <c r="AI364" s="410">
        <f t="shared" si="636" ref="AI364">AI363</f>
        <v>0</v>
      </c>
      <c r="AJ364" s="410">
        <f t="shared" si="637" ref="AJ364">AJ363</f>
        <v>0</v>
      </c>
      <c r="AK364" s="410">
        <f t="shared" si="638" ref="AK364">AK363</f>
        <v>0</v>
      </c>
      <c r="AL364" s="410">
        <f t="shared" si="639" ref="AL364">AL363</f>
        <v>0</v>
      </c>
      <c r="AM364" s="306"/>
    </row>
    <row r="365" spans="2:39" ht="15.5" outlineLevel="1">
      <c r="B365" s="514"/>
      <c r="C365" s="291"/>
      <c r="D365" s="750"/>
      <c r="E365" s="750"/>
      <c r="F365" s="750"/>
      <c r="G365" s="750"/>
      <c r="H365" s="750"/>
      <c r="I365" s="750"/>
      <c r="J365" s="750"/>
      <c r="K365" s="750"/>
      <c r="L365" s="750"/>
      <c r="M365" s="750"/>
      <c r="N365" s="750"/>
      <c r="O365" s="750"/>
      <c r="P365" s="750"/>
      <c r="Q365" s="750"/>
      <c r="R365" s="750"/>
      <c r="S365" s="750"/>
      <c r="T365" s="750"/>
      <c r="U365" s="750"/>
      <c r="V365" s="750"/>
      <c r="W365" s="750"/>
      <c r="X365" s="750"/>
      <c r="Y365" s="761"/>
      <c r="Z365" s="780"/>
      <c r="AA365" s="780"/>
      <c r="AB365" s="780"/>
      <c r="AC365" s="780"/>
      <c r="AD365" s="780"/>
      <c r="AE365" s="780"/>
      <c r="AF365" s="422"/>
      <c r="AG365" s="422"/>
      <c r="AH365" s="422"/>
      <c r="AI365" s="422"/>
      <c r="AJ365" s="422"/>
      <c r="AK365" s="422"/>
      <c r="AL365" s="422"/>
      <c r="AM365" s="306"/>
    </row>
    <row r="366" spans="1:39" ht="31" outlineLevel="1">
      <c r="A366" s="516">
        <v>46</v>
      </c>
      <c r="B366" s="514"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776"/>
      <c r="Z366" s="759"/>
      <c r="AA366" s="759"/>
      <c r="AB366" s="759"/>
      <c r="AC366" s="759"/>
      <c r="AD366" s="759"/>
      <c r="AE366" s="759"/>
      <c r="AF366" s="409"/>
      <c r="AG366" s="414"/>
      <c r="AH366" s="414"/>
      <c r="AI366" s="414"/>
      <c r="AJ366" s="414"/>
      <c r="AK366" s="414"/>
      <c r="AL366" s="414"/>
      <c r="AM366" s="296">
        <f>SUM(Y366:AL366)</f>
        <v>0</v>
      </c>
    </row>
    <row r="367" spans="2: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760">
        <f>Y366</f>
        <v>0</v>
      </c>
      <c r="Z367" s="760">
        <f t="shared" si="640" ref="Z367:AE367">Z366</f>
        <v>0</v>
      </c>
      <c r="AA367" s="760">
        <f t="shared" si="640"/>
        <v>0</v>
      </c>
      <c r="AB367" s="760">
        <f t="shared" si="640"/>
        <v>0</v>
      </c>
      <c r="AC367" s="760">
        <f t="shared" si="640"/>
        <v>0</v>
      </c>
      <c r="AD367" s="760">
        <f t="shared" si="640"/>
        <v>0</v>
      </c>
      <c r="AE367" s="760">
        <f t="shared" si="640"/>
        <v>0</v>
      </c>
      <c r="AF367" s="410">
        <f t="shared" si="641" ref="AF367">AF366</f>
        <v>0</v>
      </c>
      <c r="AG367" s="410">
        <f t="shared" si="642" ref="AG367">AG366</f>
        <v>0</v>
      </c>
      <c r="AH367" s="410">
        <f t="shared" si="643" ref="AH367">AH366</f>
        <v>0</v>
      </c>
      <c r="AI367" s="410">
        <f t="shared" si="644" ref="AI367">AI366</f>
        <v>0</v>
      </c>
      <c r="AJ367" s="410">
        <f t="shared" si="645" ref="AJ367">AJ366</f>
        <v>0</v>
      </c>
      <c r="AK367" s="410">
        <f t="shared" si="646" ref="AK367">AK366</f>
        <v>0</v>
      </c>
      <c r="AL367" s="410">
        <f t="shared" si="647" ref="AL367">AL366</f>
        <v>0</v>
      </c>
      <c r="AM367" s="306"/>
    </row>
    <row r="368" spans="2:39" ht="15.5" outlineLevel="1">
      <c r="B368" s="514"/>
      <c r="C368" s="291"/>
      <c r="D368" s="750"/>
      <c r="E368" s="750"/>
      <c r="F368" s="750"/>
      <c r="G368" s="750"/>
      <c r="H368" s="750"/>
      <c r="I368" s="750"/>
      <c r="J368" s="750"/>
      <c r="K368" s="750"/>
      <c r="L368" s="750"/>
      <c r="M368" s="750"/>
      <c r="N368" s="750"/>
      <c r="O368" s="750"/>
      <c r="P368" s="750"/>
      <c r="Q368" s="750"/>
      <c r="R368" s="750"/>
      <c r="S368" s="750"/>
      <c r="T368" s="750"/>
      <c r="U368" s="750"/>
      <c r="V368" s="750"/>
      <c r="W368" s="750"/>
      <c r="X368" s="750"/>
      <c r="Y368" s="761"/>
      <c r="Z368" s="780"/>
      <c r="AA368" s="780"/>
      <c r="AB368" s="780"/>
      <c r="AC368" s="780"/>
      <c r="AD368" s="780"/>
      <c r="AE368" s="780"/>
      <c r="AF368" s="422"/>
      <c r="AG368" s="422"/>
      <c r="AH368" s="422"/>
      <c r="AI368" s="422"/>
      <c r="AJ368" s="422"/>
      <c r="AK368" s="422"/>
      <c r="AL368" s="422"/>
      <c r="AM368" s="306"/>
    </row>
    <row r="369" spans="1:39" ht="31" outlineLevel="1">
      <c r="A369" s="516">
        <v>47</v>
      </c>
      <c r="B369" s="514"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776"/>
      <c r="Z369" s="759"/>
      <c r="AA369" s="759"/>
      <c r="AB369" s="759"/>
      <c r="AC369" s="759"/>
      <c r="AD369" s="759"/>
      <c r="AE369" s="759"/>
      <c r="AF369" s="409"/>
      <c r="AG369" s="414"/>
      <c r="AH369" s="414"/>
      <c r="AI369" s="414"/>
      <c r="AJ369" s="414"/>
      <c r="AK369" s="414"/>
      <c r="AL369" s="414"/>
      <c r="AM369" s="296">
        <f>SUM(Y369:AL369)</f>
        <v>0</v>
      </c>
    </row>
    <row r="370" spans="2:39"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760">
        <f>Y369</f>
        <v>0</v>
      </c>
      <c r="Z370" s="760">
        <f t="shared" si="648" ref="Z370:AE370">Z369</f>
        <v>0</v>
      </c>
      <c r="AA370" s="760">
        <f t="shared" si="648"/>
        <v>0</v>
      </c>
      <c r="AB370" s="760">
        <f t="shared" si="648"/>
        <v>0</v>
      </c>
      <c r="AC370" s="760">
        <f t="shared" si="648"/>
        <v>0</v>
      </c>
      <c r="AD370" s="760">
        <f t="shared" si="648"/>
        <v>0</v>
      </c>
      <c r="AE370" s="760">
        <f t="shared" si="648"/>
        <v>0</v>
      </c>
      <c r="AF370" s="410">
        <f t="shared" si="649" ref="AF370">AF369</f>
        <v>0</v>
      </c>
      <c r="AG370" s="410">
        <f t="shared" si="650" ref="AG370">AG369</f>
        <v>0</v>
      </c>
      <c r="AH370" s="410">
        <f t="shared" si="651" ref="AH370">AH369</f>
        <v>0</v>
      </c>
      <c r="AI370" s="410">
        <f t="shared" si="652" ref="AI370">AI369</f>
        <v>0</v>
      </c>
      <c r="AJ370" s="410">
        <f t="shared" si="653" ref="AJ370">AJ369</f>
        <v>0</v>
      </c>
      <c r="AK370" s="410">
        <f t="shared" si="654" ref="AK370">AK369</f>
        <v>0</v>
      </c>
      <c r="AL370" s="410">
        <f t="shared" si="655" ref="AL370">AL369</f>
        <v>0</v>
      </c>
      <c r="AM370" s="306"/>
    </row>
    <row r="371" spans="2:39" ht="15.5" outlineLevel="1">
      <c r="B371" s="514"/>
      <c r="C371" s="291"/>
      <c r="D371" s="750"/>
      <c r="E371" s="750"/>
      <c r="F371" s="750"/>
      <c r="G371" s="750"/>
      <c r="H371" s="750"/>
      <c r="I371" s="750"/>
      <c r="J371" s="750"/>
      <c r="K371" s="750"/>
      <c r="L371" s="750"/>
      <c r="M371" s="750"/>
      <c r="N371" s="750"/>
      <c r="O371" s="750"/>
      <c r="P371" s="750"/>
      <c r="Q371" s="750"/>
      <c r="R371" s="750"/>
      <c r="S371" s="750"/>
      <c r="T371" s="750"/>
      <c r="U371" s="750"/>
      <c r="V371" s="750"/>
      <c r="W371" s="750"/>
      <c r="X371" s="750"/>
      <c r="Y371" s="761"/>
      <c r="Z371" s="780"/>
      <c r="AA371" s="780"/>
      <c r="AB371" s="780"/>
      <c r="AC371" s="780"/>
      <c r="AD371" s="780"/>
      <c r="AE371" s="780"/>
      <c r="AF371" s="422"/>
      <c r="AG371" s="422"/>
      <c r="AH371" s="422"/>
      <c r="AI371" s="422"/>
      <c r="AJ371" s="422"/>
      <c r="AK371" s="422"/>
      <c r="AL371" s="422"/>
      <c r="AM371" s="306"/>
    </row>
    <row r="372" spans="1:39" ht="31" outlineLevel="1">
      <c r="A372" s="516">
        <v>48</v>
      </c>
      <c r="B372" s="514"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776"/>
      <c r="Z372" s="759"/>
      <c r="AA372" s="759"/>
      <c r="AB372" s="759"/>
      <c r="AC372" s="759"/>
      <c r="AD372" s="759"/>
      <c r="AE372" s="759"/>
      <c r="AF372" s="409"/>
      <c r="AG372" s="414"/>
      <c r="AH372" s="414"/>
      <c r="AI372" s="414"/>
      <c r="AJ372" s="414"/>
      <c r="AK372" s="414"/>
      <c r="AL372" s="414"/>
      <c r="AM372" s="296">
        <f>SUM(Y372:AL372)</f>
        <v>0</v>
      </c>
    </row>
    <row r="373" spans="2:39"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760">
        <f>Y372</f>
        <v>0</v>
      </c>
      <c r="Z373" s="760">
        <f t="shared" si="656" ref="Z373:AE373">Z372</f>
        <v>0</v>
      </c>
      <c r="AA373" s="760">
        <f t="shared" si="656"/>
        <v>0</v>
      </c>
      <c r="AB373" s="760">
        <f t="shared" si="656"/>
        <v>0</v>
      </c>
      <c r="AC373" s="760">
        <f t="shared" si="656"/>
        <v>0</v>
      </c>
      <c r="AD373" s="760">
        <f t="shared" si="656"/>
        <v>0</v>
      </c>
      <c r="AE373" s="760">
        <f t="shared" si="656"/>
        <v>0</v>
      </c>
      <c r="AF373" s="410">
        <f t="shared" si="657" ref="AF373">AF372</f>
        <v>0</v>
      </c>
      <c r="AG373" s="410">
        <f t="shared" si="658" ref="AG373">AG372</f>
        <v>0</v>
      </c>
      <c r="AH373" s="410">
        <f t="shared" si="659" ref="AH373">AH372</f>
        <v>0</v>
      </c>
      <c r="AI373" s="410">
        <f t="shared" si="660" ref="AI373">AI372</f>
        <v>0</v>
      </c>
      <c r="AJ373" s="410">
        <f t="shared" si="661" ref="AJ373">AJ372</f>
        <v>0</v>
      </c>
      <c r="AK373" s="410">
        <f t="shared" si="662" ref="AK373">AK372</f>
        <v>0</v>
      </c>
      <c r="AL373" s="410">
        <f t="shared" si="663" ref="AL373">AL372</f>
        <v>0</v>
      </c>
      <c r="AM373" s="306"/>
    </row>
    <row r="374" spans="2:39" ht="15.5" outlineLevel="1">
      <c r="B374" s="514"/>
      <c r="C374" s="291"/>
      <c r="D374" s="750"/>
      <c r="E374" s="750"/>
      <c r="F374" s="750"/>
      <c r="G374" s="750"/>
      <c r="H374" s="750"/>
      <c r="I374" s="750"/>
      <c r="J374" s="750"/>
      <c r="K374" s="750"/>
      <c r="L374" s="750"/>
      <c r="M374" s="750"/>
      <c r="N374" s="750"/>
      <c r="O374" s="750"/>
      <c r="P374" s="750"/>
      <c r="Q374" s="750"/>
      <c r="R374" s="750"/>
      <c r="S374" s="750"/>
      <c r="T374" s="750"/>
      <c r="U374" s="750"/>
      <c r="V374" s="750"/>
      <c r="W374" s="750"/>
      <c r="X374" s="750"/>
      <c r="Y374" s="761"/>
      <c r="Z374" s="780"/>
      <c r="AA374" s="780"/>
      <c r="AB374" s="780"/>
      <c r="AC374" s="780"/>
      <c r="AD374" s="780"/>
      <c r="AE374" s="780"/>
      <c r="AF374" s="422"/>
      <c r="AG374" s="422"/>
      <c r="AH374" s="422"/>
      <c r="AI374" s="422"/>
      <c r="AJ374" s="422"/>
      <c r="AK374" s="422"/>
      <c r="AL374" s="422"/>
      <c r="AM374" s="306"/>
    </row>
    <row r="375" spans="1:39" ht="31" outlineLevel="1">
      <c r="A375" s="516">
        <v>49</v>
      </c>
      <c r="B375" s="514"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776"/>
      <c r="Z375" s="759"/>
      <c r="AA375" s="759"/>
      <c r="AB375" s="759"/>
      <c r="AC375" s="759"/>
      <c r="AD375" s="759"/>
      <c r="AE375" s="759"/>
      <c r="AF375" s="409"/>
      <c r="AG375" s="414"/>
      <c r="AH375" s="414"/>
      <c r="AI375" s="414"/>
      <c r="AJ375" s="414"/>
      <c r="AK375" s="414"/>
      <c r="AL375" s="414"/>
      <c r="AM375" s="296">
        <f>SUM(Y375:AL375)</f>
        <v>0</v>
      </c>
    </row>
    <row r="376" spans="2:39" ht="15.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760">
        <f>Y375</f>
        <v>0</v>
      </c>
      <c r="Z376" s="760">
        <f t="shared" si="664" ref="Z376:AE376">Z375</f>
        <v>0</v>
      </c>
      <c r="AA376" s="760">
        <f t="shared" si="664"/>
        <v>0</v>
      </c>
      <c r="AB376" s="760">
        <f t="shared" si="664"/>
        <v>0</v>
      </c>
      <c r="AC376" s="760">
        <f t="shared" si="664"/>
        <v>0</v>
      </c>
      <c r="AD376" s="760">
        <f t="shared" si="664"/>
        <v>0</v>
      </c>
      <c r="AE376" s="760">
        <f t="shared" si="664"/>
        <v>0</v>
      </c>
      <c r="AF376" s="410">
        <f t="shared" si="665" ref="AF376">AF375</f>
        <v>0</v>
      </c>
      <c r="AG376" s="410">
        <f t="shared" si="666" ref="AG376">AG375</f>
        <v>0</v>
      </c>
      <c r="AH376" s="410">
        <f t="shared" si="667" ref="AH376">AH375</f>
        <v>0</v>
      </c>
      <c r="AI376" s="410">
        <f t="shared" si="668" ref="AI376">AI375</f>
        <v>0</v>
      </c>
      <c r="AJ376" s="410">
        <f t="shared" si="669" ref="AJ376">AJ375</f>
        <v>0</v>
      </c>
      <c r="AK376" s="410">
        <f t="shared" si="670" ref="AK376">AK375</f>
        <v>0</v>
      </c>
      <c r="AL376" s="410">
        <f t="shared" si="671" ref="AL376">AL375</f>
        <v>0</v>
      </c>
      <c r="AM376" s="306"/>
    </row>
    <row r="377" spans="2:39" ht="15.5" outlineLevel="1">
      <c r="B377" s="434"/>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2:39" ht="15.5">
      <c r="B378" s="326" t="s">
        <v>274</v>
      </c>
      <c r="C378" s="328"/>
      <c r="D378" s="328">
        <f>SUM(D221:D376)</f>
        <v>5654334.6425871979</v>
      </c>
      <c r="E378" s="328"/>
      <c r="F378" s="328"/>
      <c r="G378" s="328"/>
      <c r="H378" s="328"/>
      <c r="I378" s="328"/>
      <c r="J378" s="328"/>
      <c r="K378" s="328"/>
      <c r="L378" s="328"/>
      <c r="M378" s="328"/>
      <c r="N378" s="328"/>
      <c r="O378" s="328">
        <f>SUM(O221:O376)</f>
        <v>406.0613172896758</v>
      </c>
      <c r="P378" s="328"/>
      <c r="Q378" s="328"/>
      <c r="R378" s="328"/>
      <c r="S378" s="328"/>
      <c r="T378" s="328"/>
      <c r="U378" s="328"/>
      <c r="V378" s="328"/>
      <c r="W378" s="328"/>
      <c r="X378" s="328"/>
      <c r="Y378" s="328">
        <f>IF(Y219="kWh",SUMPRODUCT(D221:D376,Y221:Y376))</f>
        <v>2595920</v>
      </c>
      <c r="Z378" s="328">
        <f>IF(Z219="kWh",SUMPRODUCT(D221:D376,Z221:Z376))</f>
        <v>384870.74915880442</v>
      </c>
      <c r="AA378" s="328">
        <f>IF(AA219="kw",SUMPRODUCT(N221:N376,O221:O376,AA221:AA376),SUMPRODUCT(D221:D376,AA221:AA376))</f>
        <v>119.83646307304659</v>
      </c>
      <c r="AB378" s="328">
        <f>IF(AB219="kw",SUMPRODUCT(N221:N376,O221:O376,AB221:AB376),SUMPRODUCT(D221:D376,AB221:AB376))</f>
        <v>601.87149265719472</v>
      </c>
      <c r="AC378" s="328">
        <f>IF(AC219="kw",SUMPRODUCT(N221:N376,O221:O376,AC221:AC376),SUMPRODUCT(D221:D376,AC221:AC376))</f>
        <v>0</v>
      </c>
      <c r="AD378" s="328">
        <f>IF(AD219="kw",SUMPRODUCT(N221:N376,O221:O376,AD221:AD376),SUMPRODUCT(D221:D376,AD221:AD376))</f>
        <v>0</v>
      </c>
      <c r="AE378" s="806">
        <f>-'8.  Streetlighting'!G62</f>
        <v>2057.6890559999997</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2:39" ht="15.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691161</v>
      </c>
      <c r="Z379" s="391">
        <f>HLOOKUP(Z218,'2. LRAMVA Threshold'!$B$42:$Q$53,8,FALSE)</f>
        <v>74889</v>
      </c>
      <c r="AA379" s="391">
        <f>HLOOKUP(AA218,'2. LRAMVA Threshold'!$B$42:$Q$53,8,FALSE)</f>
        <v>3272</v>
      </c>
      <c r="AB379" s="391">
        <f>HLOOKUP(AB218,'2. LRAMVA Threshold'!$B$42:$Q$53,8,FALSE)</f>
        <v>2873</v>
      </c>
      <c r="AC379" s="391">
        <f>HLOOKUP(AC218,'2. LRAMVA Threshold'!$B$42:$Q$53,8,FALSE)</f>
        <v>0</v>
      </c>
      <c r="AD379" s="391">
        <f>HLOOKUP(AD218,'2. LRAMVA Threshold'!$B$42:$Q$53,8,FALSE)</f>
        <v>0</v>
      </c>
      <c r="AE379" s="391">
        <f>HLOOKUP(AE218,'2. LRAMVA Threshold'!$B$42:$Q$53,8,FALSE)</f>
        <v>3777</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2:39" ht="15.5">
      <c r="B380" s="393"/>
      <c r="C380" s="429"/>
      <c r="D380" s="430"/>
      <c r="E380" s="430"/>
      <c r="F380" s="430"/>
      <c r="G380" s="430"/>
      <c r="H380" s="430"/>
      <c r="I380" s="430"/>
      <c r="J380" s="430"/>
      <c r="K380" s="430"/>
      <c r="L380" s="430"/>
      <c r="M380" s="430"/>
      <c r="N380" s="430"/>
      <c r="O380" s="431"/>
      <c r="P380" s="430"/>
      <c r="Q380" s="430"/>
      <c r="R380" s="430"/>
      <c r="S380" s="432"/>
      <c r="T380" s="432"/>
      <c r="U380" s="432"/>
      <c r="V380" s="432"/>
      <c r="W380" s="430"/>
      <c r="X380" s="430"/>
      <c r="Y380" s="433"/>
      <c r="Z380" s="433"/>
      <c r="AA380" s="433"/>
      <c r="AB380" s="433"/>
      <c r="AC380" s="433"/>
      <c r="AD380" s="433"/>
      <c r="AE380" s="433"/>
      <c r="AF380" s="398"/>
      <c r="AG380" s="398"/>
      <c r="AH380" s="398"/>
      <c r="AI380" s="398"/>
      <c r="AJ380" s="398"/>
      <c r="AK380" s="398"/>
      <c r="AL380" s="398"/>
      <c r="AM380" s="399"/>
    </row>
    <row r="381" spans="2:42" ht="15.5">
      <c r="B381" s="323" t="s">
        <v>276</v>
      </c>
      <c r="C381" s="337"/>
      <c r="D381" s="337"/>
      <c r="E381" s="375"/>
      <c r="F381" s="375"/>
      <c r="G381" s="375"/>
      <c r="H381" s="375"/>
      <c r="I381" s="375"/>
      <c r="J381" s="375"/>
      <c r="K381" s="375"/>
      <c r="L381" s="375"/>
      <c r="M381" s="375"/>
      <c r="N381" s="375"/>
      <c r="O381" s="291"/>
      <c r="P381" s="339"/>
      <c r="Q381" s="339"/>
      <c r="R381" s="339"/>
      <c r="S381" s="338"/>
      <c r="T381" s="338"/>
      <c r="U381" s="338"/>
      <c r="V381" s="338"/>
      <c r="W381" s="339"/>
      <c r="X381" s="339"/>
      <c r="Y381" s="340">
        <f>HLOOKUP(Y$35,'3.  Distribution Rates'!$C$122:$P$133,8,FALSE)</f>
        <v>0.010699999999999999</v>
      </c>
      <c r="Z381" s="340">
        <f>HLOOKUP(Z$35,'3.  Distribution Rates'!$C$122:$P$133,8,FALSE)</f>
        <v>0.0094000000000000004</v>
      </c>
      <c r="AA381" s="340">
        <f>HLOOKUP(AA$35,'3.  Distribution Rates'!$C$122:$P$133,8,FALSE)</f>
        <v>3.6461000000000001</v>
      </c>
      <c r="AB381" s="340">
        <f>HLOOKUP(AB$35,'3.  Distribution Rates'!$C$122:$P$133,8,FALSE)</f>
        <v>3.2997000000000001</v>
      </c>
      <c r="AC381" s="340">
        <f>HLOOKUP(AC$35,'3.  Distribution Rates'!$C$122:$P$133,8,FALSE)</f>
        <v>0.0050000000000000001</v>
      </c>
      <c r="AD381" s="340">
        <f>HLOOKUP(AD$35,'3.  Distribution Rates'!$C$122:$P$133,8,FALSE)</f>
        <v>29.5989</v>
      </c>
      <c r="AE381" s="340">
        <f>HLOOKUP(AE$35,'3.  Distribution Rates'!$C$122:$P$133,8,FALSE)</f>
        <v>11.0238</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2:39" ht="15.5">
      <c r="B382" s="323" t="s">
        <v>277</v>
      </c>
      <c r="C382" s="344"/>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2">
        <f>SUM(Y382:AL382)</f>
        <v>0</v>
      </c>
    </row>
    <row r="383" spans="2:39" ht="15.5">
      <c r="B383" s="323" t="s">
        <v>278</v>
      </c>
      <c r="C383" s="344"/>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2">
        <f>SUM(Y383:AL383)</f>
        <v>0</v>
      </c>
    </row>
    <row r="384" spans="2:39" ht="15.5">
      <c r="B384" s="323" t="s">
        <v>279</v>
      </c>
      <c r="C384" s="344"/>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2">
        <f>SUM(Y384:AL384)</f>
        <v>0</v>
      </c>
    </row>
    <row r="385" spans="2:39" ht="15.5">
      <c r="B385" s="323" t="s">
        <v>280</v>
      </c>
      <c r="C385" s="344"/>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2">
        <f t="shared" si="672" ref="AM385:AM387">SUM(Y385:AL385)</f>
        <v>0</v>
      </c>
    </row>
    <row r="386" spans="2:39" ht="15.5">
      <c r="B386" s="323" t="s">
        <v>281</v>
      </c>
      <c r="C386" s="344"/>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7">
        <f t="shared" si="673" ref="Y386:AL386">Y208*Y381</f>
        <v>13020.498299999999</v>
      </c>
      <c r="Z386" s="377">
        <f t="shared" si="673"/>
        <v>14632.122579526922</v>
      </c>
      <c r="AA386" s="377">
        <f t="shared" si="673"/>
        <v>7910.419746633569</v>
      </c>
      <c r="AB386" s="377">
        <f t="shared" si="673"/>
        <v>7375.8213158507324</v>
      </c>
      <c r="AC386" s="377">
        <f t="shared" si="673"/>
        <v>0</v>
      </c>
      <c r="AD386" s="377">
        <f t="shared" si="673"/>
        <v>0</v>
      </c>
      <c r="AE386" s="377">
        <f t="shared" si="673"/>
        <v>4186.2884027616028</v>
      </c>
      <c r="AF386" s="377">
        <f t="shared" si="673"/>
        <v>0</v>
      </c>
      <c r="AG386" s="377">
        <f t="shared" si="673"/>
        <v>0</v>
      </c>
      <c r="AH386" s="377">
        <f t="shared" si="673"/>
        <v>0</v>
      </c>
      <c r="AI386" s="377">
        <f t="shared" si="673"/>
        <v>0</v>
      </c>
      <c r="AJ386" s="377">
        <f t="shared" si="673"/>
        <v>0</v>
      </c>
      <c r="AK386" s="377">
        <f t="shared" si="673"/>
        <v>0</v>
      </c>
      <c r="AL386" s="377">
        <f t="shared" si="673"/>
        <v>0</v>
      </c>
      <c r="AM386" s="622">
        <f t="shared" si="672"/>
        <v>47125.150344772825</v>
      </c>
    </row>
    <row r="387" spans="2:39" ht="15.5">
      <c r="B387" s="323" t="s">
        <v>290</v>
      </c>
      <c r="C387" s="344"/>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7">
        <f>Y378*Y381</f>
        <v>27776.343999999997</v>
      </c>
      <c r="Z387" s="377">
        <f t="shared" si="674" ref="Z387:AL387">Z378*Z381</f>
        <v>3617.7850420927616</v>
      </c>
      <c r="AA387" s="377">
        <f t="shared" si="674"/>
        <v>436.93572801063516</v>
      </c>
      <c r="AB387" s="377">
        <f t="shared" si="674"/>
        <v>1985.9953643209456</v>
      </c>
      <c r="AC387" s="377">
        <f t="shared" si="674"/>
        <v>0</v>
      </c>
      <c r="AD387" s="377">
        <f t="shared" si="674"/>
        <v>0</v>
      </c>
      <c r="AE387" s="377">
        <f t="shared" si="674"/>
        <v>22683.552615532797</v>
      </c>
      <c r="AF387" s="377">
        <f t="shared" si="674"/>
        <v>0</v>
      </c>
      <c r="AG387" s="377">
        <f t="shared" si="674"/>
        <v>0</v>
      </c>
      <c r="AH387" s="377">
        <f t="shared" si="674"/>
        <v>0</v>
      </c>
      <c r="AI387" s="377">
        <f t="shared" si="674"/>
        <v>0</v>
      </c>
      <c r="AJ387" s="377">
        <f t="shared" si="674"/>
        <v>0</v>
      </c>
      <c r="AK387" s="377">
        <f t="shared" si="674"/>
        <v>0</v>
      </c>
      <c r="AL387" s="377">
        <f t="shared" si="674"/>
        <v>0</v>
      </c>
      <c r="AM387" s="622">
        <f t="shared" si="672"/>
        <v>56500.612749957138</v>
      </c>
    </row>
    <row r="388" spans="2:39" ht="15.5">
      <c r="B388" s="348" t="s">
        <v>282</v>
      </c>
      <c r="C388" s="344"/>
      <c r="D388" s="335"/>
      <c r="E388" s="333"/>
      <c r="F388" s="333"/>
      <c r="G388" s="333"/>
      <c r="H388" s="333"/>
      <c r="I388" s="333"/>
      <c r="J388" s="333"/>
      <c r="K388" s="333"/>
      <c r="L388" s="333"/>
      <c r="M388" s="333"/>
      <c r="N388" s="333"/>
      <c r="O388" s="300"/>
      <c r="P388" s="333"/>
      <c r="Q388" s="333"/>
      <c r="R388" s="333"/>
      <c r="S388" s="335"/>
      <c r="T388" s="335"/>
      <c r="U388" s="335"/>
      <c r="V388" s="335"/>
      <c r="W388" s="333"/>
      <c r="X388" s="333"/>
      <c r="Y388" s="345">
        <f>SUM(Y382:Y387)</f>
        <v>40796.842299999997</v>
      </c>
      <c r="Z388" s="345">
        <f t="shared" si="675" ref="Z388:AE388">SUM(Z382:Z387)</f>
        <v>18249.907621619685</v>
      </c>
      <c r="AA388" s="345">
        <f t="shared" si="675"/>
        <v>8347.3554746442042</v>
      </c>
      <c r="AB388" s="345">
        <f t="shared" si="675"/>
        <v>9361.8166801716779</v>
      </c>
      <c r="AC388" s="345">
        <f t="shared" si="675"/>
        <v>0</v>
      </c>
      <c r="AD388" s="345">
        <f t="shared" si="675"/>
        <v>0</v>
      </c>
      <c r="AE388" s="345">
        <f t="shared" si="675"/>
        <v>26869.841018294399</v>
      </c>
      <c r="AF388" s="345">
        <f>SUM(AF382:AF387)</f>
        <v>0</v>
      </c>
      <c r="AG388" s="345">
        <f t="shared" si="676" ref="AG388:AL388">SUM(AG382:AG387)</f>
        <v>0</v>
      </c>
      <c r="AH388" s="345">
        <f t="shared" si="676"/>
        <v>0</v>
      </c>
      <c r="AI388" s="345">
        <f t="shared" si="676"/>
        <v>0</v>
      </c>
      <c r="AJ388" s="345">
        <f t="shared" si="676"/>
        <v>0</v>
      </c>
      <c r="AK388" s="345">
        <f t="shared" si="676"/>
        <v>0</v>
      </c>
      <c r="AL388" s="345">
        <f t="shared" si="676"/>
        <v>0</v>
      </c>
      <c r="AM388" s="406">
        <f>SUM(AM382:AM387)</f>
        <v>103625.76309472996</v>
      </c>
    </row>
    <row r="389" spans="2:39" ht="15.5">
      <c r="B389" s="348" t="s">
        <v>283</v>
      </c>
      <c r="C389" s="344"/>
      <c r="D389" s="349"/>
      <c r="E389" s="333"/>
      <c r="F389" s="333"/>
      <c r="G389" s="333"/>
      <c r="H389" s="333"/>
      <c r="I389" s="333"/>
      <c r="J389" s="333"/>
      <c r="K389" s="333"/>
      <c r="L389" s="333"/>
      <c r="M389" s="333"/>
      <c r="N389" s="333"/>
      <c r="O389" s="300"/>
      <c r="P389" s="333"/>
      <c r="Q389" s="333"/>
      <c r="R389" s="333"/>
      <c r="S389" s="335"/>
      <c r="T389" s="335"/>
      <c r="U389" s="335"/>
      <c r="V389" s="335"/>
      <c r="W389" s="333"/>
      <c r="X389" s="333"/>
      <c r="Y389" s="346">
        <f>Y379*Y381</f>
        <v>7395.4226999999992</v>
      </c>
      <c r="Z389" s="346">
        <f t="shared" si="677" ref="Z389:AE389">Z379*Z381</f>
        <v>703.95659999999998</v>
      </c>
      <c r="AA389" s="346">
        <f t="shared" si="677"/>
        <v>11930.039200000001</v>
      </c>
      <c r="AB389" s="346">
        <f t="shared" si="677"/>
        <v>9480.0380999999998</v>
      </c>
      <c r="AC389" s="346">
        <f t="shared" si="677"/>
        <v>0</v>
      </c>
      <c r="AD389" s="346">
        <f t="shared" si="677"/>
        <v>0</v>
      </c>
      <c r="AE389" s="346">
        <f t="shared" si="677"/>
        <v>41636.892599999999</v>
      </c>
      <c r="AF389" s="346">
        <f>AF379*AF381</f>
        <v>0</v>
      </c>
      <c r="AG389" s="346">
        <f t="shared" si="678" ref="AG389:AL389">AG379*AG381</f>
        <v>0</v>
      </c>
      <c r="AH389" s="346">
        <f t="shared" si="678"/>
        <v>0</v>
      </c>
      <c r="AI389" s="346">
        <f t="shared" si="678"/>
        <v>0</v>
      </c>
      <c r="AJ389" s="346">
        <f t="shared" si="678"/>
        <v>0</v>
      </c>
      <c r="AK389" s="346">
        <f t="shared" si="678"/>
        <v>0</v>
      </c>
      <c r="AL389" s="346">
        <f t="shared" si="678"/>
        <v>0</v>
      </c>
      <c r="AM389" s="406">
        <f>SUM(Y389:AL389)</f>
        <v>71146.349199999997</v>
      </c>
    </row>
    <row r="390" spans="2:39" ht="15.5">
      <c r="B390" s="348" t="s">
        <v>284</v>
      </c>
      <c r="C390" s="344"/>
      <c r="D390" s="349"/>
      <c r="E390" s="333"/>
      <c r="F390" s="333"/>
      <c r="G390" s="333"/>
      <c r="H390" s="333"/>
      <c r="I390" s="333"/>
      <c r="J390" s="333"/>
      <c r="K390" s="333"/>
      <c r="L390" s="333"/>
      <c r="M390" s="333"/>
      <c r="N390" s="333"/>
      <c r="O390" s="300"/>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32479.413894729965</v>
      </c>
    </row>
    <row r="391" spans="2:39" ht="15.5">
      <c r="B391" s="323"/>
      <c r="C391" s="349"/>
      <c r="D391" s="349"/>
      <c r="E391" s="333"/>
      <c r="F391" s="333"/>
      <c r="G391" s="333"/>
      <c r="H391" s="333"/>
      <c r="I391" s="333"/>
      <c r="J391" s="333"/>
      <c r="K391" s="333"/>
      <c r="L391" s="333"/>
      <c r="M391" s="333"/>
      <c r="N391" s="333"/>
      <c r="O391" s="300"/>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ht="15.5">
      <c r="B392" s="436" t="s">
        <v>285</v>
      </c>
      <c r="C392" s="304"/>
      <c r="D392" s="279"/>
      <c r="E392" s="279"/>
      <c r="F392" s="279"/>
      <c r="G392" s="279"/>
      <c r="H392" s="279"/>
      <c r="I392" s="279"/>
      <c r="J392" s="279"/>
      <c r="K392" s="279"/>
      <c r="L392" s="279"/>
      <c r="M392" s="279"/>
      <c r="N392" s="279"/>
      <c r="O392" s="356"/>
      <c r="P392" s="279"/>
      <c r="Q392" s="279"/>
      <c r="R392" s="279"/>
      <c r="S392" s="304"/>
      <c r="T392" s="309"/>
      <c r="U392" s="309"/>
      <c r="V392" s="279"/>
      <c r="W392" s="279"/>
      <c r="X392" s="309"/>
      <c r="Y392" s="291">
        <f>SUMPRODUCT(E221:E376,Y221:Y376)</f>
        <v>2595920</v>
      </c>
      <c r="Z392" s="291">
        <f>SUMPRODUCT(E221:E376,Z221:Z376)</f>
        <v>307311.14277480508</v>
      </c>
      <c r="AA392" s="291">
        <f t="shared" si="679" ref="AA392:AL392">IF(AA219="kw",SUMPRODUCT($N$221:$N$376,$P$221:$P$376,AA221:AA376),SUMPRODUCT($E$221:$E$376,AA221:AA376))</f>
        <v>54.427339726203272</v>
      </c>
      <c r="AB392" s="291">
        <f t="shared" si="679"/>
        <v>273.35806950846268</v>
      </c>
      <c r="AC392" s="291">
        <f t="shared" si="679"/>
        <v>0</v>
      </c>
      <c r="AD392" s="291">
        <f t="shared" si="679"/>
        <v>0</v>
      </c>
      <c r="AE392" s="807">
        <f>'8.  Streetlighting'!G63</f>
        <v>3573.9218879999999</v>
      </c>
      <c r="AF392" s="291">
        <f t="shared" si="679"/>
        <v>0</v>
      </c>
      <c r="AG392" s="291">
        <f t="shared" si="679"/>
        <v>0</v>
      </c>
      <c r="AH392" s="291">
        <f t="shared" si="679"/>
        <v>0</v>
      </c>
      <c r="AI392" s="291">
        <f t="shared" si="679"/>
        <v>0</v>
      </c>
      <c r="AJ392" s="291">
        <f t="shared" si="679"/>
        <v>0</v>
      </c>
      <c r="AK392" s="291">
        <f t="shared" si="679"/>
        <v>0</v>
      </c>
      <c r="AL392" s="291">
        <f t="shared" si="679"/>
        <v>0</v>
      </c>
      <c r="AM392" s="347"/>
    </row>
    <row r="393" spans="2:39" ht="15.5">
      <c r="B393" s="436" t="s">
        <v>286</v>
      </c>
      <c r="C393" s="304"/>
      <c r="D393" s="279"/>
      <c r="E393" s="279"/>
      <c r="F393" s="279"/>
      <c r="G393" s="279"/>
      <c r="H393" s="279"/>
      <c r="I393" s="279"/>
      <c r="J393" s="279"/>
      <c r="K393" s="279"/>
      <c r="L393" s="279"/>
      <c r="M393" s="279"/>
      <c r="N393" s="279"/>
      <c r="O393" s="356"/>
      <c r="P393" s="279"/>
      <c r="Q393" s="279"/>
      <c r="R393" s="279"/>
      <c r="S393" s="304"/>
      <c r="T393" s="309"/>
      <c r="U393" s="309"/>
      <c r="V393" s="279"/>
      <c r="W393" s="279"/>
      <c r="X393" s="309"/>
      <c r="Y393" s="291">
        <f>SUMPRODUCT(F221:F376,Y221:Y376)</f>
        <v>2595920</v>
      </c>
      <c r="Z393" s="291">
        <f>SUMPRODUCT(F221:F376,Z221:Z376)</f>
        <v>307311.14277480508</v>
      </c>
      <c r="AA393" s="291">
        <f t="shared" si="680" ref="AA393:AL393">IF(AA219="kw",SUMPRODUCT($N$221:$N$376,$Q$221:$Q$376,AA221:AA376),SUMPRODUCT($F$221:$F$376,AA221:AA376))</f>
        <v>54.427339726203272</v>
      </c>
      <c r="AB393" s="291">
        <f t="shared" si="680"/>
        <v>273.35806950846268</v>
      </c>
      <c r="AC393" s="291">
        <f t="shared" si="680"/>
        <v>0</v>
      </c>
      <c r="AD393" s="291">
        <f t="shared" si="680"/>
        <v>0</v>
      </c>
      <c r="AE393" s="807">
        <f>'8.  Streetlighting'!G64</f>
        <v>3573.9218879999999</v>
      </c>
      <c r="AF393" s="291">
        <f t="shared" si="680"/>
        <v>0</v>
      </c>
      <c r="AG393" s="291">
        <f t="shared" si="680"/>
        <v>0</v>
      </c>
      <c r="AH393" s="291">
        <f t="shared" si="680"/>
        <v>0</v>
      </c>
      <c r="AI393" s="291">
        <f t="shared" si="680"/>
        <v>0</v>
      </c>
      <c r="AJ393" s="291">
        <f t="shared" si="680"/>
        <v>0</v>
      </c>
      <c r="AK393" s="291">
        <f t="shared" si="680"/>
        <v>0</v>
      </c>
      <c r="AL393" s="291">
        <f t="shared" si="680"/>
        <v>0</v>
      </c>
      <c r="AM393" s="336"/>
    </row>
    <row r="394" spans="2:39" ht="15.5">
      <c r="B394" s="436" t="s">
        <v>287</v>
      </c>
      <c r="C394" s="304"/>
      <c r="D394" s="279"/>
      <c r="E394" s="279"/>
      <c r="F394" s="279"/>
      <c r="G394" s="279"/>
      <c r="H394" s="279"/>
      <c r="I394" s="279"/>
      <c r="J394" s="279"/>
      <c r="K394" s="279"/>
      <c r="L394" s="279"/>
      <c r="M394" s="279"/>
      <c r="N394" s="279"/>
      <c r="O394" s="356"/>
      <c r="P394" s="279"/>
      <c r="Q394" s="279"/>
      <c r="R394" s="279"/>
      <c r="S394" s="304"/>
      <c r="T394" s="309"/>
      <c r="U394" s="309"/>
      <c r="V394" s="279"/>
      <c r="W394" s="279"/>
      <c r="X394" s="309"/>
      <c r="Y394" s="291">
        <f>SUMPRODUCT(G221:G376,Y221:Y376)</f>
        <v>2595920</v>
      </c>
      <c r="Z394" s="291">
        <f>SUMPRODUCT(G221:G376,Z221:Z376)</f>
        <v>307311.14277480508</v>
      </c>
      <c r="AA394" s="291">
        <f t="shared" si="681" ref="AA394:AL394">IF(AA219="kw",SUMPRODUCT($N$221:$N$376,$R$221:$R$376,AA221:AA376),SUMPRODUCT($G$221:$G$376,AA221:AA376))</f>
        <v>54.427339726203272</v>
      </c>
      <c r="AB394" s="291">
        <f t="shared" si="681"/>
        <v>273.35806950846268</v>
      </c>
      <c r="AC394" s="291">
        <f t="shared" si="681"/>
        <v>0</v>
      </c>
      <c r="AD394" s="291">
        <f t="shared" si="681"/>
        <v>0</v>
      </c>
      <c r="AE394" s="807">
        <f>'8.  Streetlighting'!G65</f>
        <v>3573.9218879999999</v>
      </c>
      <c r="AF394" s="291">
        <f t="shared" si="681"/>
        <v>0</v>
      </c>
      <c r="AG394" s="291">
        <f t="shared" si="681"/>
        <v>0</v>
      </c>
      <c r="AH394" s="291">
        <f t="shared" si="681"/>
        <v>0</v>
      </c>
      <c r="AI394" s="291">
        <f t="shared" si="681"/>
        <v>0</v>
      </c>
      <c r="AJ394" s="291">
        <f t="shared" si="681"/>
        <v>0</v>
      </c>
      <c r="AK394" s="291">
        <f t="shared" si="681"/>
        <v>0</v>
      </c>
      <c r="AL394" s="291">
        <f t="shared" si="681"/>
        <v>0</v>
      </c>
      <c r="AM394" s="336"/>
    </row>
    <row r="395" spans="2:39" ht="15.5">
      <c r="B395" s="437"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2595920</v>
      </c>
      <c r="Z395" s="325">
        <f>SUMPRODUCT(H221:H376,Z221:Z376)</f>
        <v>307311.14277480508</v>
      </c>
      <c r="AA395" s="325">
        <f t="shared" si="682" ref="AA395:AL395">IF(AA219="kw",SUMPRODUCT($N$221:$N$376,$S$221:$S$376,AA221:AA376),SUMPRODUCT($H$221:$H$376,AA221:AA376))</f>
        <v>47.712108578055179</v>
      </c>
      <c r="AB395" s="325">
        <f t="shared" si="682"/>
        <v>239.63122134364039</v>
      </c>
      <c r="AC395" s="325">
        <f t="shared" si="682"/>
        <v>0</v>
      </c>
      <c r="AD395" s="325">
        <f t="shared" si="682"/>
        <v>0</v>
      </c>
      <c r="AE395" s="808">
        <f>'8.  Streetlighting'!G66</f>
        <v>3573.9218879999999</v>
      </c>
      <c r="AF395" s="325">
        <f t="shared" si="682"/>
        <v>0</v>
      </c>
      <c r="AG395" s="325">
        <f t="shared" si="682"/>
        <v>0</v>
      </c>
      <c r="AH395" s="325">
        <f t="shared" si="682"/>
        <v>0</v>
      </c>
      <c r="AI395" s="325">
        <f t="shared" si="682"/>
        <v>0</v>
      </c>
      <c r="AJ395" s="325">
        <f t="shared" si="682"/>
        <v>0</v>
      </c>
      <c r="AK395" s="325">
        <f t="shared" si="682"/>
        <v>0</v>
      </c>
      <c r="AL395" s="325">
        <f t="shared" si="682"/>
        <v>0</v>
      </c>
      <c r="AM395" s="385"/>
    </row>
    <row r="396" spans="2:39" ht="21" customHeight="1">
      <c r="B396" s="367" t="s">
        <v>586</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5">
      <c r="B399" s="280" t="s">
        <v>291</v>
      </c>
      <c r="C399" s="281"/>
      <c r="D399" s="583" t="s">
        <v>525</v>
      </c>
      <c r="E399" s="253"/>
      <c r="F399" s="585"/>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02" t="s">
        <v>211</v>
      </c>
      <c r="C400" s="904" t="s">
        <v>33</v>
      </c>
      <c r="D400" s="284" t="s">
        <v>421</v>
      </c>
      <c r="E400" s="906" t="s">
        <v>209</v>
      </c>
      <c r="F400" s="907"/>
      <c r="G400" s="907"/>
      <c r="H400" s="907"/>
      <c r="I400" s="907"/>
      <c r="J400" s="907"/>
      <c r="K400" s="907"/>
      <c r="L400" s="907"/>
      <c r="M400" s="908"/>
      <c r="N400" s="909" t="s">
        <v>213</v>
      </c>
      <c r="O400" s="284" t="s">
        <v>422</v>
      </c>
      <c r="P400" s="906" t="s">
        <v>212</v>
      </c>
      <c r="Q400" s="907"/>
      <c r="R400" s="907"/>
      <c r="S400" s="907"/>
      <c r="T400" s="907"/>
      <c r="U400" s="907"/>
      <c r="V400" s="907"/>
      <c r="W400" s="907"/>
      <c r="X400" s="908"/>
      <c r="Y400" s="899" t="s">
        <v>243</v>
      </c>
      <c r="Z400" s="900"/>
      <c r="AA400" s="900"/>
      <c r="AB400" s="900"/>
      <c r="AC400" s="900"/>
      <c r="AD400" s="900"/>
      <c r="AE400" s="900"/>
      <c r="AF400" s="900"/>
      <c r="AG400" s="900"/>
      <c r="AH400" s="900"/>
      <c r="AI400" s="900"/>
      <c r="AJ400" s="900"/>
      <c r="AK400" s="900"/>
      <c r="AL400" s="900"/>
      <c r="AM400" s="901"/>
    </row>
    <row r="401" spans="2:39" ht="61.5" customHeight="1">
      <c r="B401" s="903"/>
      <c r="C401" s="905"/>
      <c r="D401" s="285">
        <v>2017</v>
      </c>
      <c r="E401" s="285">
        <v>2018</v>
      </c>
      <c r="F401" s="285">
        <v>2019</v>
      </c>
      <c r="G401" s="285">
        <v>2020</v>
      </c>
      <c r="H401" s="285">
        <v>2021</v>
      </c>
      <c r="I401" s="285">
        <v>2022</v>
      </c>
      <c r="J401" s="285">
        <v>2023</v>
      </c>
      <c r="K401" s="285">
        <v>2024</v>
      </c>
      <c r="L401" s="285">
        <v>2025</v>
      </c>
      <c r="M401" s="285">
        <v>2026</v>
      </c>
      <c r="N401" s="91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50 - 999 kW</v>
      </c>
      <c r="AB401" s="285" t="str">
        <f>'1.  LRAMVA Summary'!G52</f>
        <v>GS 1,000 - 4,999 kW</v>
      </c>
      <c r="AC401" s="285" t="str">
        <f>'1.  LRAMVA Summary'!H52</f>
        <v>USL</v>
      </c>
      <c r="AD401" s="285" t="str">
        <f>'1.  LRAMVA Summary'!I52</f>
        <v>Sentinel Lighting</v>
      </c>
      <c r="AE401" s="285" t="str">
        <f>'1.  LRAMVA Summary'!J52</f>
        <v>Street Lighting</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6"/>
      <c r="B402" s="518"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26"/>
      <c r="B403" s="498"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26">
        <v>1</v>
      </c>
      <c r="B404" s="425" t="s">
        <v>95</v>
      </c>
      <c r="C404" s="291" t="s">
        <v>25</v>
      </c>
      <c r="D404" s="295"/>
      <c r="E404" s="295"/>
      <c r="F404" s="295"/>
      <c r="G404" s="295"/>
      <c r="H404" s="295"/>
      <c r="I404" s="295"/>
      <c r="J404" s="295"/>
      <c r="K404" s="295"/>
      <c r="L404" s="295"/>
      <c r="M404" s="295"/>
      <c r="N404" s="750"/>
      <c r="O404" s="295"/>
      <c r="P404" s="295"/>
      <c r="Q404" s="295"/>
      <c r="R404" s="295"/>
      <c r="S404" s="295"/>
      <c r="T404" s="295"/>
      <c r="U404" s="295"/>
      <c r="V404" s="295"/>
      <c r="W404" s="295"/>
      <c r="X404" s="295"/>
      <c r="Y404" s="759"/>
      <c r="Z404" s="759"/>
      <c r="AA404" s="759"/>
      <c r="AB404" s="759"/>
      <c r="AC404" s="759"/>
      <c r="AD404" s="759"/>
      <c r="AE404" s="759"/>
      <c r="AF404" s="409"/>
      <c r="AG404" s="409"/>
      <c r="AH404" s="409"/>
      <c r="AI404" s="409"/>
      <c r="AJ404" s="409"/>
      <c r="AK404" s="409"/>
      <c r="AL404" s="409"/>
      <c r="AM404" s="296">
        <f>SUM(Y404:AL404)</f>
        <v>0</v>
      </c>
    </row>
    <row r="405" spans="1:39" ht="15.5" outlineLevel="1">
      <c r="A405" s="526"/>
      <c r="B405" s="428" t="s">
        <v>308</v>
      </c>
      <c r="C405" s="291" t="s">
        <v>163</v>
      </c>
      <c r="D405" s="295"/>
      <c r="E405" s="295"/>
      <c r="F405" s="295"/>
      <c r="G405" s="295"/>
      <c r="H405" s="295"/>
      <c r="I405" s="295"/>
      <c r="J405" s="295"/>
      <c r="K405" s="295"/>
      <c r="L405" s="295"/>
      <c r="M405" s="295"/>
      <c r="N405" s="751"/>
      <c r="O405" s="295"/>
      <c r="P405" s="295"/>
      <c r="Q405" s="295"/>
      <c r="R405" s="295"/>
      <c r="S405" s="295"/>
      <c r="T405" s="295"/>
      <c r="U405" s="295"/>
      <c r="V405" s="295"/>
      <c r="W405" s="295"/>
      <c r="X405" s="295"/>
      <c r="Y405" s="760">
        <f>Y404</f>
        <v>0</v>
      </c>
      <c r="Z405" s="760">
        <f t="shared" si="683" ref="Z405:AE405">Z404</f>
        <v>0</v>
      </c>
      <c r="AA405" s="760">
        <f t="shared" si="683"/>
        <v>0</v>
      </c>
      <c r="AB405" s="760">
        <f t="shared" si="683"/>
        <v>0</v>
      </c>
      <c r="AC405" s="760">
        <f t="shared" si="683"/>
        <v>0</v>
      </c>
      <c r="AD405" s="760">
        <f t="shared" si="683"/>
        <v>0</v>
      </c>
      <c r="AE405" s="760">
        <f t="shared" si="683"/>
        <v>0</v>
      </c>
      <c r="AF405" s="410">
        <f t="shared" si="684" ref="AF405">AF404</f>
        <v>0</v>
      </c>
      <c r="AG405" s="410">
        <f t="shared" si="685" ref="AG405">AG404</f>
        <v>0</v>
      </c>
      <c r="AH405" s="410">
        <f t="shared" si="686" ref="AH405">AH404</f>
        <v>0</v>
      </c>
      <c r="AI405" s="410">
        <f t="shared" si="687" ref="AI405">AI404</f>
        <v>0</v>
      </c>
      <c r="AJ405" s="410">
        <f t="shared" si="688" ref="AJ405">AJ404</f>
        <v>0</v>
      </c>
      <c r="AK405" s="410">
        <f t="shared" si="689" ref="AK405">AK404</f>
        <v>0</v>
      </c>
      <c r="AL405" s="410">
        <f t="shared" si="690" ref="AL405">AL404</f>
        <v>0</v>
      </c>
      <c r="AM405" s="297"/>
    </row>
    <row r="406" spans="1:39" ht="15.5" outlineLevel="1">
      <c r="A406" s="526"/>
      <c r="B406" s="519"/>
      <c r="C406" s="299"/>
      <c r="D406" s="752"/>
      <c r="E406" s="752"/>
      <c r="F406" s="752"/>
      <c r="G406" s="752"/>
      <c r="H406" s="752"/>
      <c r="I406" s="752"/>
      <c r="J406" s="752"/>
      <c r="K406" s="752"/>
      <c r="L406" s="752"/>
      <c r="M406" s="752"/>
      <c r="N406" s="758"/>
      <c r="O406" s="752"/>
      <c r="P406" s="752"/>
      <c r="Q406" s="752"/>
      <c r="R406" s="752"/>
      <c r="S406" s="752"/>
      <c r="T406" s="752"/>
      <c r="U406" s="752"/>
      <c r="V406" s="752"/>
      <c r="W406" s="752"/>
      <c r="X406" s="752"/>
      <c r="Y406" s="761"/>
      <c r="Z406" s="762"/>
      <c r="AA406" s="762"/>
      <c r="AB406" s="762"/>
      <c r="AC406" s="762"/>
      <c r="AD406" s="762"/>
      <c r="AE406" s="762"/>
      <c r="AF406" s="412"/>
      <c r="AG406" s="412"/>
      <c r="AH406" s="412"/>
      <c r="AI406" s="412"/>
      <c r="AJ406" s="412"/>
      <c r="AK406" s="412"/>
      <c r="AL406" s="412"/>
      <c r="AM406" s="302"/>
    </row>
    <row r="407" spans="1:39" ht="15.5" outlineLevel="1">
      <c r="A407" s="526">
        <v>2</v>
      </c>
      <c r="B407" s="425" t="s">
        <v>96</v>
      </c>
      <c r="C407" s="291" t="s">
        <v>25</v>
      </c>
      <c r="D407" s="295"/>
      <c r="E407" s="295"/>
      <c r="F407" s="295"/>
      <c r="G407" s="295"/>
      <c r="H407" s="295"/>
      <c r="I407" s="295"/>
      <c r="J407" s="295"/>
      <c r="K407" s="295"/>
      <c r="L407" s="295"/>
      <c r="M407" s="295"/>
      <c r="N407" s="750"/>
      <c r="O407" s="295"/>
      <c r="P407" s="295"/>
      <c r="Q407" s="295"/>
      <c r="R407" s="295"/>
      <c r="S407" s="295"/>
      <c r="T407" s="295"/>
      <c r="U407" s="295"/>
      <c r="V407" s="295"/>
      <c r="W407" s="295"/>
      <c r="X407" s="295"/>
      <c r="Y407" s="759"/>
      <c r="Z407" s="759"/>
      <c r="AA407" s="759"/>
      <c r="AB407" s="759"/>
      <c r="AC407" s="759"/>
      <c r="AD407" s="759"/>
      <c r="AE407" s="759"/>
      <c r="AF407" s="409"/>
      <c r="AG407" s="409"/>
      <c r="AH407" s="409"/>
      <c r="AI407" s="409"/>
      <c r="AJ407" s="409"/>
      <c r="AK407" s="409"/>
      <c r="AL407" s="409"/>
      <c r="AM407" s="296">
        <f>SUM(Y407:AL407)</f>
        <v>0</v>
      </c>
    </row>
    <row r="408" spans="1:39" ht="15.5" outlineLevel="1">
      <c r="A408" s="526"/>
      <c r="B408" s="428" t="s">
        <v>308</v>
      </c>
      <c r="C408" s="291" t="s">
        <v>163</v>
      </c>
      <c r="D408" s="295"/>
      <c r="E408" s="295"/>
      <c r="F408" s="295"/>
      <c r="G408" s="295"/>
      <c r="H408" s="295"/>
      <c r="I408" s="295"/>
      <c r="J408" s="295"/>
      <c r="K408" s="295"/>
      <c r="L408" s="295"/>
      <c r="M408" s="295"/>
      <c r="N408" s="751"/>
      <c r="O408" s="295"/>
      <c r="P408" s="295"/>
      <c r="Q408" s="295"/>
      <c r="R408" s="295"/>
      <c r="S408" s="295"/>
      <c r="T408" s="295"/>
      <c r="U408" s="295"/>
      <c r="V408" s="295"/>
      <c r="W408" s="295"/>
      <c r="X408" s="295"/>
      <c r="Y408" s="760">
        <f>Y407</f>
        <v>0</v>
      </c>
      <c r="Z408" s="760">
        <f t="shared" si="691" ref="Z408:AE408">Z407</f>
        <v>0</v>
      </c>
      <c r="AA408" s="760">
        <f t="shared" si="691"/>
        <v>0</v>
      </c>
      <c r="AB408" s="760">
        <f t="shared" si="691"/>
        <v>0</v>
      </c>
      <c r="AC408" s="760">
        <f t="shared" si="691"/>
        <v>0</v>
      </c>
      <c r="AD408" s="760">
        <f t="shared" si="691"/>
        <v>0</v>
      </c>
      <c r="AE408" s="760">
        <f t="shared" si="691"/>
        <v>0</v>
      </c>
      <c r="AF408" s="410">
        <f t="shared" si="692" ref="AF408">AF407</f>
        <v>0</v>
      </c>
      <c r="AG408" s="410">
        <f t="shared" si="693" ref="AG408">AG407</f>
        <v>0</v>
      </c>
      <c r="AH408" s="410">
        <f t="shared" si="694" ref="AH408">AH407</f>
        <v>0</v>
      </c>
      <c r="AI408" s="410">
        <f t="shared" si="695" ref="AI408">AI407</f>
        <v>0</v>
      </c>
      <c r="AJ408" s="410">
        <f t="shared" si="696" ref="AJ408">AJ407</f>
        <v>0</v>
      </c>
      <c r="AK408" s="410">
        <f t="shared" si="697" ref="AK408">AK407</f>
        <v>0</v>
      </c>
      <c r="AL408" s="410">
        <f t="shared" si="698" ref="AL408">AL407</f>
        <v>0</v>
      </c>
      <c r="AM408" s="297"/>
    </row>
    <row r="409" spans="1:39" ht="15.5" outlineLevel="1">
      <c r="A409" s="526"/>
      <c r="B409" s="519"/>
      <c r="C409" s="299"/>
      <c r="D409" s="753"/>
      <c r="E409" s="753"/>
      <c r="F409" s="753"/>
      <c r="G409" s="753"/>
      <c r="H409" s="753"/>
      <c r="I409" s="753"/>
      <c r="J409" s="753"/>
      <c r="K409" s="753"/>
      <c r="L409" s="753"/>
      <c r="M409" s="753"/>
      <c r="N409" s="758"/>
      <c r="O409" s="753"/>
      <c r="P409" s="753"/>
      <c r="Q409" s="753"/>
      <c r="R409" s="753"/>
      <c r="S409" s="753"/>
      <c r="T409" s="753"/>
      <c r="U409" s="753"/>
      <c r="V409" s="753"/>
      <c r="W409" s="753"/>
      <c r="X409" s="753"/>
      <c r="Y409" s="761"/>
      <c r="Z409" s="762"/>
      <c r="AA409" s="762"/>
      <c r="AB409" s="762"/>
      <c r="AC409" s="762"/>
      <c r="AD409" s="762"/>
      <c r="AE409" s="762"/>
      <c r="AF409" s="412"/>
      <c r="AG409" s="412"/>
      <c r="AH409" s="412"/>
      <c r="AI409" s="412"/>
      <c r="AJ409" s="412"/>
      <c r="AK409" s="412"/>
      <c r="AL409" s="412"/>
      <c r="AM409" s="302"/>
    </row>
    <row r="410" spans="1:39" ht="15.5" outlineLevel="1">
      <c r="A410" s="526">
        <v>3</v>
      </c>
      <c r="B410" s="425" t="s">
        <v>97</v>
      </c>
      <c r="C410" s="291" t="s">
        <v>25</v>
      </c>
      <c r="D410" s="295"/>
      <c r="E410" s="295"/>
      <c r="F410" s="295"/>
      <c r="G410" s="295"/>
      <c r="H410" s="295"/>
      <c r="I410" s="295"/>
      <c r="J410" s="295"/>
      <c r="K410" s="295"/>
      <c r="L410" s="295"/>
      <c r="M410" s="295"/>
      <c r="N410" s="750"/>
      <c r="O410" s="295"/>
      <c r="P410" s="295"/>
      <c r="Q410" s="295"/>
      <c r="R410" s="295"/>
      <c r="S410" s="295"/>
      <c r="T410" s="295"/>
      <c r="U410" s="295"/>
      <c r="V410" s="295"/>
      <c r="W410" s="295"/>
      <c r="X410" s="295"/>
      <c r="Y410" s="759"/>
      <c r="Z410" s="759"/>
      <c r="AA410" s="759"/>
      <c r="AB410" s="759"/>
      <c r="AC410" s="759"/>
      <c r="AD410" s="759"/>
      <c r="AE410" s="759"/>
      <c r="AF410" s="409"/>
      <c r="AG410" s="409"/>
      <c r="AH410" s="409"/>
      <c r="AI410" s="409"/>
      <c r="AJ410" s="409"/>
      <c r="AK410" s="409"/>
      <c r="AL410" s="409"/>
      <c r="AM410" s="296">
        <f>SUM(Y410:AL410)</f>
        <v>0</v>
      </c>
    </row>
    <row r="411" spans="1:39" ht="15.5" outlineLevel="1">
      <c r="A411" s="526"/>
      <c r="B411" s="428" t="s">
        <v>308</v>
      </c>
      <c r="C411" s="291" t="s">
        <v>163</v>
      </c>
      <c r="D411" s="295"/>
      <c r="E411" s="295"/>
      <c r="F411" s="295"/>
      <c r="G411" s="295"/>
      <c r="H411" s="295"/>
      <c r="I411" s="295"/>
      <c r="J411" s="295"/>
      <c r="K411" s="295"/>
      <c r="L411" s="295"/>
      <c r="M411" s="295"/>
      <c r="N411" s="751"/>
      <c r="O411" s="295"/>
      <c r="P411" s="295"/>
      <c r="Q411" s="295"/>
      <c r="R411" s="295"/>
      <c r="S411" s="295"/>
      <c r="T411" s="295"/>
      <c r="U411" s="295"/>
      <c r="V411" s="295"/>
      <c r="W411" s="295"/>
      <c r="X411" s="295"/>
      <c r="Y411" s="760">
        <f>Y410</f>
        <v>0</v>
      </c>
      <c r="Z411" s="760">
        <f t="shared" si="699" ref="Z411:AE411">Z410</f>
        <v>0</v>
      </c>
      <c r="AA411" s="760">
        <f t="shared" si="699"/>
        <v>0</v>
      </c>
      <c r="AB411" s="760">
        <f t="shared" si="699"/>
        <v>0</v>
      </c>
      <c r="AC411" s="760">
        <f t="shared" si="699"/>
        <v>0</v>
      </c>
      <c r="AD411" s="760">
        <f t="shared" si="699"/>
        <v>0</v>
      </c>
      <c r="AE411" s="760">
        <f t="shared" si="699"/>
        <v>0</v>
      </c>
      <c r="AF411" s="410">
        <f t="shared" si="700" ref="AF411">AF410</f>
        <v>0</v>
      </c>
      <c r="AG411" s="410">
        <f t="shared" si="701" ref="AG411">AG410</f>
        <v>0</v>
      </c>
      <c r="AH411" s="410">
        <f t="shared" si="702" ref="AH411">AH410</f>
        <v>0</v>
      </c>
      <c r="AI411" s="410">
        <f t="shared" si="703" ref="AI411">AI410</f>
        <v>0</v>
      </c>
      <c r="AJ411" s="410">
        <f t="shared" si="704" ref="AJ411">AJ410</f>
        <v>0</v>
      </c>
      <c r="AK411" s="410">
        <f t="shared" si="705" ref="AK411">AK410</f>
        <v>0</v>
      </c>
      <c r="AL411" s="410">
        <f t="shared" si="706" ref="AL411">AL410</f>
        <v>0</v>
      </c>
      <c r="AM411" s="297"/>
    </row>
    <row r="412" spans="1:39" ht="15.5" outlineLevel="1">
      <c r="A412" s="526"/>
      <c r="B412" s="428"/>
      <c r="C412" s="305"/>
      <c r="D412" s="750"/>
      <c r="E412" s="750"/>
      <c r="F412" s="750"/>
      <c r="G412" s="750"/>
      <c r="H412" s="750"/>
      <c r="I412" s="750"/>
      <c r="J412" s="750"/>
      <c r="K412" s="750"/>
      <c r="L412" s="750"/>
      <c r="M412" s="750"/>
      <c r="N412" s="750"/>
      <c r="O412" s="750"/>
      <c r="P412" s="750"/>
      <c r="Q412" s="750"/>
      <c r="R412" s="750"/>
      <c r="S412" s="750"/>
      <c r="T412" s="750"/>
      <c r="U412" s="750"/>
      <c r="V412" s="750"/>
      <c r="W412" s="750"/>
      <c r="X412" s="750"/>
      <c r="Y412" s="761"/>
      <c r="Z412" s="761"/>
      <c r="AA412" s="761"/>
      <c r="AB412" s="761"/>
      <c r="AC412" s="761"/>
      <c r="AD412" s="761"/>
      <c r="AE412" s="761"/>
      <c r="AF412" s="411"/>
      <c r="AG412" s="411"/>
      <c r="AH412" s="411"/>
      <c r="AI412" s="411"/>
      <c r="AJ412" s="411"/>
      <c r="AK412" s="411"/>
      <c r="AL412" s="411"/>
      <c r="AM412" s="306"/>
    </row>
    <row r="413" spans="1:39" ht="15.5" outlineLevel="1">
      <c r="A413" s="526">
        <v>4</v>
      </c>
      <c r="B413" s="514" t="s">
        <v>676</v>
      </c>
      <c r="C413" s="291" t="s">
        <v>25</v>
      </c>
      <c r="D413" s="295"/>
      <c r="E413" s="295"/>
      <c r="F413" s="295"/>
      <c r="G413" s="295"/>
      <c r="H413" s="295"/>
      <c r="I413" s="295"/>
      <c r="J413" s="295"/>
      <c r="K413" s="295"/>
      <c r="L413" s="295"/>
      <c r="M413" s="295"/>
      <c r="N413" s="750"/>
      <c r="O413" s="295"/>
      <c r="P413" s="295"/>
      <c r="Q413" s="295"/>
      <c r="R413" s="295"/>
      <c r="S413" s="295"/>
      <c r="T413" s="295"/>
      <c r="U413" s="295"/>
      <c r="V413" s="295"/>
      <c r="W413" s="295"/>
      <c r="X413" s="295"/>
      <c r="Y413" s="759"/>
      <c r="Z413" s="759"/>
      <c r="AA413" s="759"/>
      <c r="AB413" s="759"/>
      <c r="AC413" s="759"/>
      <c r="AD413" s="759"/>
      <c r="AE413" s="759"/>
      <c r="AF413" s="409"/>
      <c r="AG413" s="409"/>
      <c r="AH413" s="409"/>
      <c r="AI413" s="409"/>
      <c r="AJ413" s="409"/>
      <c r="AK413" s="409"/>
      <c r="AL413" s="409"/>
      <c r="AM413" s="296">
        <f>SUM(Y413:AL413)</f>
        <v>0</v>
      </c>
    </row>
    <row r="414" spans="1:39" ht="15.5" outlineLevel="1">
      <c r="A414" s="526"/>
      <c r="B414" s="428" t="s">
        <v>308</v>
      </c>
      <c r="C414" s="291" t="s">
        <v>163</v>
      </c>
      <c r="D414" s="295"/>
      <c r="E414" s="295"/>
      <c r="F414" s="295"/>
      <c r="G414" s="295"/>
      <c r="H414" s="295"/>
      <c r="I414" s="295"/>
      <c r="J414" s="295"/>
      <c r="K414" s="295"/>
      <c r="L414" s="295"/>
      <c r="M414" s="295"/>
      <c r="N414" s="751"/>
      <c r="O414" s="295"/>
      <c r="P414" s="295"/>
      <c r="Q414" s="295"/>
      <c r="R414" s="295"/>
      <c r="S414" s="295"/>
      <c r="T414" s="295"/>
      <c r="U414" s="295"/>
      <c r="V414" s="295"/>
      <c r="W414" s="295"/>
      <c r="X414" s="295"/>
      <c r="Y414" s="760">
        <f>Y413</f>
        <v>0</v>
      </c>
      <c r="Z414" s="760">
        <f t="shared" si="707" ref="Z414:AE414">Z413</f>
        <v>0</v>
      </c>
      <c r="AA414" s="760">
        <f t="shared" si="707"/>
        <v>0</v>
      </c>
      <c r="AB414" s="760">
        <f t="shared" si="707"/>
        <v>0</v>
      </c>
      <c r="AC414" s="760">
        <f t="shared" si="707"/>
        <v>0</v>
      </c>
      <c r="AD414" s="760">
        <f t="shared" si="707"/>
        <v>0</v>
      </c>
      <c r="AE414" s="760">
        <f t="shared" si="707"/>
        <v>0</v>
      </c>
      <c r="AF414" s="410">
        <f t="shared" si="708" ref="AF414">AF413</f>
        <v>0</v>
      </c>
      <c r="AG414" s="410">
        <f t="shared" si="709" ref="AG414">AG413</f>
        <v>0</v>
      </c>
      <c r="AH414" s="410">
        <f t="shared" si="710" ref="AH414">AH413</f>
        <v>0</v>
      </c>
      <c r="AI414" s="410">
        <f t="shared" si="711" ref="AI414">AI413</f>
        <v>0</v>
      </c>
      <c r="AJ414" s="410">
        <f t="shared" si="712" ref="AJ414">AJ413</f>
        <v>0</v>
      </c>
      <c r="AK414" s="410">
        <f t="shared" si="713" ref="AK414">AK413</f>
        <v>0</v>
      </c>
      <c r="AL414" s="410">
        <f t="shared" si="714" ref="AL414">AL413</f>
        <v>0</v>
      </c>
      <c r="AM414" s="297"/>
    </row>
    <row r="415" spans="1:39" ht="15.5" outlineLevel="1">
      <c r="A415" s="526"/>
      <c r="B415" s="428"/>
      <c r="C415" s="305"/>
      <c r="D415" s="753"/>
      <c r="E415" s="753"/>
      <c r="F415" s="753"/>
      <c r="G415" s="753"/>
      <c r="H415" s="753"/>
      <c r="I415" s="753"/>
      <c r="J415" s="753"/>
      <c r="K415" s="753"/>
      <c r="L415" s="753"/>
      <c r="M415" s="753"/>
      <c r="N415" s="750"/>
      <c r="O415" s="753"/>
      <c r="P415" s="753"/>
      <c r="Q415" s="753"/>
      <c r="R415" s="753"/>
      <c r="S415" s="753"/>
      <c r="T415" s="753"/>
      <c r="U415" s="753"/>
      <c r="V415" s="753"/>
      <c r="W415" s="753"/>
      <c r="X415" s="753"/>
      <c r="Y415" s="761"/>
      <c r="Z415" s="761"/>
      <c r="AA415" s="761"/>
      <c r="AB415" s="761"/>
      <c r="AC415" s="761"/>
      <c r="AD415" s="761"/>
      <c r="AE415" s="761"/>
      <c r="AF415" s="411"/>
      <c r="AG415" s="411"/>
      <c r="AH415" s="411"/>
      <c r="AI415" s="411"/>
      <c r="AJ415" s="411"/>
      <c r="AK415" s="411"/>
      <c r="AL415" s="411"/>
      <c r="AM415" s="306"/>
    </row>
    <row r="416" spans="1:39" ht="31" outlineLevel="1">
      <c r="A416" s="526">
        <v>5</v>
      </c>
      <c r="B416" s="425" t="s">
        <v>98</v>
      </c>
      <c r="C416" s="291" t="s">
        <v>25</v>
      </c>
      <c r="D416" s="295"/>
      <c r="E416" s="295"/>
      <c r="F416" s="295"/>
      <c r="G416" s="295"/>
      <c r="H416" s="295"/>
      <c r="I416" s="295"/>
      <c r="J416" s="295"/>
      <c r="K416" s="295"/>
      <c r="L416" s="295"/>
      <c r="M416" s="295"/>
      <c r="N416" s="750"/>
      <c r="O416" s="295"/>
      <c r="P416" s="295"/>
      <c r="Q416" s="295"/>
      <c r="R416" s="295"/>
      <c r="S416" s="295"/>
      <c r="T416" s="295"/>
      <c r="U416" s="295"/>
      <c r="V416" s="295"/>
      <c r="W416" s="295"/>
      <c r="X416" s="295"/>
      <c r="Y416" s="759"/>
      <c r="Z416" s="759"/>
      <c r="AA416" s="759"/>
      <c r="AB416" s="759"/>
      <c r="AC416" s="759"/>
      <c r="AD416" s="759"/>
      <c r="AE416" s="759"/>
      <c r="AF416" s="409"/>
      <c r="AG416" s="409"/>
      <c r="AH416" s="409"/>
      <c r="AI416" s="409"/>
      <c r="AJ416" s="409"/>
      <c r="AK416" s="409"/>
      <c r="AL416" s="409"/>
      <c r="AM416" s="296">
        <f>SUM(Y416:AL416)</f>
        <v>0</v>
      </c>
    </row>
    <row r="417" spans="1:39" ht="15.5" outlineLevel="1">
      <c r="A417" s="526"/>
      <c r="B417" s="428" t="s">
        <v>308</v>
      </c>
      <c r="C417" s="291" t="s">
        <v>163</v>
      </c>
      <c r="D417" s="295"/>
      <c r="E417" s="295"/>
      <c r="F417" s="295"/>
      <c r="G417" s="295"/>
      <c r="H417" s="295"/>
      <c r="I417" s="295"/>
      <c r="J417" s="295"/>
      <c r="K417" s="295"/>
      <c r="L417" s="295"/>
      <c r="M417" s="295"/>
      <c r="N417" s="751"/>
      <c r="O417" s="295"/>
      <c r="P417" s="295"/>
      <c r="Q417" s="295"/>
      <c r="R417" s="295"/>
      <c r="S417" s="295"/>
      <c r="T417" s="295"/>
      <c r="U417" s="295"/>
      <c r="V417" s="295"/>
      <c r="W417" s="295"/>
      <c r="X417" s="295"/>
      <c r="Y417" s="760">
        <f>Y416</f>
        <v>0</v>
      </c>
      <c r="Z417" s="760">
        <f t="shared" si="715" ref="Z417:AE417">Z416</f>
        <v>0</v>
      </c>
      <c r="AA417" s="760">
        <f t="shared" si="715"/>
        <v>0</v>
      </c>
      <c r="AB417" s="760">
        <f t="shared" si="715"/>
        <v>0</v>
      </c>
      <c r="AC417" s="760">
        <f t="shared" si="715"/>
        <v>0</v>
      </c>
      <c r="AD417" s="760">
        <f t="shared" si="715"/>
        <v>0</v>
      </c>
      <c r="AE417" s="760">
        <f t="shared" si="715"/>
        <v>0</v>
      </c>
      <c r="AF417" s="410">
        <f t="shared" si="716" ref="AF417">AF416</f>
        <v>0</v>
      </c>
      <c r="AG417" s="410">
        <f t="shared" si="717" ref="AG417">AG416</f>
        <v>0</v>
      </c>
      <c r="AH417" s="410">
        <f t="shared" si="718" ref="AH417">AH416</f>
        <v>0</v>
      </c>
      <c r="AI417" s="410">
        <f t="shared" si="719" ref="AI417">AI416</f>
        <v>0</v>
      </c>
      <c r="AJ417" s="410">
        <f t="shared" si="720" ref="AJ417">AJ416</f>
        <v>0</v>
      </c>
      <c r="AK417" s="410">
        <f t="shared" si="721" ref="AK417">AK416</f>
        <v>0</v>
      </c>
      <c r="AL417" s="410">
        <f t="shared" si="722" ref="AL417">AL416</f>
        <v>0</v>
      </c>
      <c r="AM417" s="297"/>
    </row>
    <row r="418" spans="1:39" ht="15.5" outlineLevel="1">
      <c r="A418" s="526"/>
      <c r="B418" s="428"/>
      <c r="C418" s="291"/>
      <c r="D418" s="750"/>
      <c r="E418" s="750"/>
      <c r="F418" s="750"/>
      <c r="G418" s="750"/>
      <c r="H418" s="750"/>
      <c r="I418" s="750"/>
      <c r="J418" s="750"/>
      <c r="K418" s="750"/>
      <c r="L418" s="750"/>
      <c r="M418" s="750"/>
      <c r="N418" s="750"/>
      <c r="O418" s="750"/>
      <c r="P418" s="750"/>
      <c r="Q418" s="750"/>
      <c r="R418" s="750"/>
      <c r="S418" s="750"/>
      <c r="T418" s="750"/>
      <c r="U418" s="750"/>
      <c r="V418" s="750"/>
      <c r="W418" s="750"/>
      <c r="X418" s="750"/>
      <c r="Y418" s="771"/>
      <c r="Z418" s="772"/>
      <c r="AA418" s="772"/>
      <c r="AB418" s="772"/>
      <c r="AC418" s="772"/>
      <c r="AD418" s="772"/>
      <c r="AE418" s="772"/>
      <c r="AF418" s="420"/>
      <c r="AG418" s="420"/>
      <c r="AH418" s="420"/>
      <c r="AI418" s="420"/>
      <c r="AJ418" s="420"/>
      <c r="AK418" s="420"/>
      <c r="AL418" s="420"/>
      <c r="AM418" s="297"/>
    </row>
    <row r="419" spans="1:39" ht="15.5" outlineLevel="1">
      <c r="A419" s="526"/>
      <c r="B419" s="508" t="s">
        <v>497</v>
      </c>
      <c r="C419" s="289"/>
      <c r="D419" s="754"/>
      <c r="E419" s="754"/>
      <c r="F419" s="754"/>
      <c r="G419" s="754"/>
      <c r="H419" s="754"/>
      <c r="I419" s="754"/>
      <c r="J419" s="754"/>
      <c r="K419" s="754"/>
      <c r="L419" s="754"/>
      <c r="M419" s="754"/>
      <c r="N419" s="756"/>
      <c r="O419" s="754"/>
      <c r="P419" s="754"/>
      <c r="Q419" s="754"/>
      <c r="R419" s="754"/>
      <c r="S419" s="754"/>
      <c r="T419" s="754"/>
      <c r="U419" s="754"/>
      <c r="V419" s="754"/>
      <c r="W419" s="754"/>
      <c r="X419" s="754"/>
      <c r="Y419" s="763"/>
      <c r="Z419" s="763"/>
      <c r="AA419" s="763"/>
      <c r="AB419" s="763"/>
      <c r="AC419" s="763"/>
      <c r="AD419" s="763"/>
      <c r="AE419" s="763"/>
      <c r="AF419" s="413"/>
      <c r="AG419" s="413"/>
      <c r="AH419" s="413"/>
      <c r="AI419" s="413"/>
      <c r="AJ419" s="413"/>
      <c r="AK419" s="413"/>
      <c r="AL419" s="413"/>
      <c r="AM419" s="292"/>
    </row>
    <row r="420" spans="1:39" ht="15.5" outlineLevel="1">
      <c r="A420" s="526">
        <v>6</v>
      </c>
      <c r="B420" s="425"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764"/>
      <c r="Z420" s="759"/>
      <c r="AA420" s="759"/>
      <c r="AB420" s="759"/>
      <c r="AC420" s="759"/>
      <c r="AD420" s="759"/>
      <c r="AE420" s="759"/>
      <c r="AF420" s="414"/>
      <c r="AG420" s="414"/>
      <c r="AH420" s="414"/>
      <c r="AI420" s="414"/>
      <c r="AJ420" s="414"/>
      <c r="AK420" s="414"/>
      <c r="AL420" s="414"/>
      <c r="AM420" s="296">
        <f>SUM(Y420:AL420)</f>
        <v>0</v>
      </c>
    </row>
    <row r="421" spans="1:39" ht="15.5" outlineLevel="1">
      <c r="A421" s="526"/>
      <c r="B421" s="428"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760">
        <f>Y420</f>
        <v>0</v>
      </c>
      <c r="Z421" s="760">
        <f t="shared" si="723" ref="Z421:AE421">Z420</f>
        <v>0</v>
      </c>
      <c r="AA421" s="760">
        <f t="shared" si="723"/>
        <v>0</v>
      </c>
      <c r="AB421" s="760">
        <f t="shared" si="723"/>
        <v>0</v>
      </c>
      <c r="AC421" s="760">
        <f t="shared" si="723"/>
        <v>0</v>
      </c>
      <c r="AD421" s="760">
        <f t="shared" si="723"/>
        <v>0</v>
      </c>
      <c r="AE421" s="760">
        <f t="shared" si="723"/>
        <v>0</v>
      </c>
      <c r="AF421" s="410">
        <f t="shared" si="724" ref="AF421">AF420</f>
        <v>0</v>
      </c>
      <c r="AG421" s="410">
        <f t="shared" si="725" ref="AG421">AG420</f>
        <v>0</v>
      </c>
      <c r="AH421" s="410">
        <f t="shared" si="726" ref="AH421">AH420</f>
        <v>0</v>
      </c>
      <c r="AI421" s="410">
        <f t="shared" si="727" ref="AI421">AI420</f>
        <v>0</v>
      </c>
      <c r="AJ421" s="410">
        <f t="shared" si="728" ref="AJ421">AJ420</f>
        <v>0</v>
      </c>
      <c r="AK421" s="410">
        <f t="shared" si="729" ref="AK421">AK420</f>
        <v>0</v>
      </c>
      <c r="AL421" s="410">
        <f t="shared" si="730" ref="AL421">AL420</f>
        <v>0</v>
      </c>
      <c r="AM421" s="311"/>
    </row>
    <row r="422" spans="1:39" ht="15.5" outlineLevel="1">
      <c r="A422" s="526"/>
      <c r="B422" s="520"/>
      <c r="C422" s="312"/>
      <c r="D422" s="750"/>
      <c r="E422" s="750"/>
      <c r="F422" s="750"/>
      <c r="G422" s="750"/>
      <c r="H422" s="750"/>
      <c r="I422" s="750"/>
      <c r="J422" s="750"/>
      <c r="K422" s="750"/>
      <c r="L422" s="750"/>
      <c r="M422" s="750"/>
      <c r="N422" s="750"/>
      <c r="O422" s="750"/>
      <c r="P422" s="750"/>
      <c r="Q422" s="750"/>
      <c r="R422" s="750"/>
      <c r="S422" s="750"/>
      <c r="T422" s="750"/>
      <c r="U422" s="750"/>
      <c r="V422" s="750"/>
      <c r="W422" s="750"/>
      <c r="X422" s="750"/>
      <c r="Y422" s="765"/>
      <c r="Z422" s="765"/>
      <c r="AA422" s="765"/>
      <c r="AB422" s="765"/>
      <c r="AC422" s="765"/>
      <c r="AD422" s="765"/>
      <c r="AE422" s="765"/>
      <c r="AF422" s="415"/>
      <c r="AG422" s="415"/>
      <c r="AH422" s="415"/>
      <c r="AI422" s="415"/>
      <c r="AJ422" s="415"/>
      <c r="AK422" s="415"/>
      <c r="AL422" s="415"/>
      <c r="AM422" s="313"/>
    </row>
    <row r="423" spans="1:39" ht="31" outlineLevel="1">
      <c r="A423" s="526">
        <v>7</v>
      </c>
      <c r="B423" s="425"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764"/>
      <c r="Z423" s="759"/>
      <c r="AA423" s="759"/>
      <c r="AB423" s="759"/>
      <c r="AC423" s="759"/>
      <c r="AD423" s="759"/>
      <c r="AE423" s="759"/>
      <c r="AF423" s="414"/>
      <c r="AG423" s="414"/>
      <c r="AH423" s="414"/>
      <c r="AI423" s="414"/>
      <c r="AJ423" s="414"/>
      <c r="AK423" s="414"/>
      <c r="AL423" s="414"/>
      <c r="AM423" s="296">
        <f>SUM(Y423:AL423)</f>
        <v>0</v>
      </c>
    </row>
    <row r="424" spans="1:39" ht="15.5" outlineLevel="1">
      <c r="A424" s="526"/>
      <c r="B424" s="428"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760">
        <f>Y423</f>
        <v>0</v>
      </c>
      <c r="Z424" s="760">
        <f t="shared" si="731" ref="Z424:AE424">Z423</f>
        <v>0</v>
      </c>
      <c r="AA424" s="760">
        <f t="shared" si="731"/>
        <v>0</v>
      </c>
      <c r="AB424" s="760">
        <f t="shared" si="731"/>
        <v>0</v>
      </c>
      <c r="AC424" s="760">
        <f t="shared" si="731"/>
        <v>0</v>
      </c>
      <c r="AD424" s="760">
        <f t="shared" si="731"/>
        <v>0</v>
      </c>
      <c r="AE424" s="760">
        <f t="shared" si="731"/>
        <v>0</v>
      </c>
      <c r="AF424" s="410">
        <f t="shared" si="732" ref="AF424">AF423</f>
        <v>0</v>
      </c>
      <c r="AG424" s="410">
        <f t="shared" si="733" ref="AG424">AG423</f>
        <v>0</v>
      </c>
      <c r="AH424" s="410">
        <f t="shared" si="734" ref="AH424">AH423</f>
        <v>0</v>
      </c>
      <c r="AI424" s="410">
        <f t="shared" si="735" ref="AI424">AI423</f>
        <v>0</v>
      </c>
      <c r="AJ424" s="410">
        <f t="shared" si="736" ref="AJ424">AJ423</f>
        <v>0</v>
      </c>
      <c r="AK424" s="410">
        <f t="shared" si="737" ref="AK424">AK423</f>
        <v>0</v>
      </c>
      <c r="AL424" s="410">
        <f t="shared" si="738" ref="AL424">AL423</f>
        <v>0</v>
      </c>
      <c r="AM424" s="311"/>
    </row>
    <row r="425" spans="1:39" ht="15.5" outlineLevel="1">
      <c r="A425" s="526"/>
      <c r="B425" s="521"/>
      <c r="C425" s="312"/>
      <c r="D425" s="750"/>
      <c r="E425" s="750"/>
      <c r="F425" s="750"/>
      <c r="G425" s="750"/>
      <c r="H425" s="750"/>
      <c r="I425" s="750"/>
      <c r="J425" s="750"/>
      <c r="K425" s="750"/>
      <c r="L425" s="750"/>
      <c r="M425" s="750"/>
      <c r="N425" s="750"/>
      <c r="O425" s="750"/>
      <c r="P425" s="750"/>
      <c r="Q425" s="750"/>
      <c r="R425" s="750"/>
      <c r="S425" s="750"/>
      <c r="T425" s="750"/>
      <c r="U425" s="750"/>
      <c r="V425" s="750"/>
      <c r="W425" s="750"/>
      <c r="X425" s="750"/>
      <c r="Y425" s="765"/>
      <c r="Z425" s="766"/>
      <c r="AA425" s="765"/>
      <c r="AB425" s="765"/>
      <c r="AC425" s="765"/>
      <c r="AD425" s="765"/>
      <c r="AE425" s="765"/>
      <c r="AF425" s="415"/>
      <c r="AG425" s="415"/>
      <c r="AH425" s="415"/>
      <c r="AI425" s="415"/>
      <c r="AJ425" s="415"/>
      <c r="AK425" s="415"/>
      <c r="AL425" s="415"/>
      <c r="AM425" s="313"/>
    </row>
    <row r="426" spans="1:39" ht="31" outlineLevel="1">
      <c r="A426" s="526">
        <v>8</v>
      </c>
      <c r="B426" s="425"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764"/>
      <c r="Z426" s="759"/>
      <c r="AA426" s="759"/>
      <c r="AB426" s="759"/>
      <c r="AC426" s="759"/>
      <c r="AD426" s="759"/>
      <c r="AE426" s="759"/>
      <c r="AF426" s="414"/>
      <c r="AG426" s="414"/>
      <c r="AH426" s="414"/>
      <c r="AI426" s="414"/>
      <c r="AJ426" s="414"/>
      <c r="AK426" s="414"/>
      <c r="AL426" s="414"/>
      <c r="AM426" s="296">
        <f>SUM(Y426:AL426)</f>
        <v>0</v>
      </c>
    </row>
    <row r="427" spans="1:39" ht="15.5" outlineLevel="1">
      <c r="A427" s="526"/>
      <c r="B427" s="428"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760">
        <f>Y426</f>
        <v>0</v>
      </c>
      <c r="Z427" s="760">
        <f t="shared" si="739" ref="Z427:AE427">Z426</f>
        <v>0</v>
      </c>
      <c r="AA427" s="760">
        <f t="shared" si="739"/>
        <v>0</v>
      </c>
      <c r="AB427" s="760">
        <f t="shared" si="739"/>
        <v>0</v>
      </c>
      <c r="AC427" s="760">
        <f t="shared" si="739"/>
        <v>0</v>
      </c>
      <c r="AD427" s="760">
        <f t="shared" si="739"/>
        <v>0</v>
      </c>
      <c r="AE427" s="760">
        <f t="shared" si="739"/>
        <v>0</v>
      </c>
      <c r="AF427" s="410">
        <f t="shared" si="740" ref="AF427">AF426</f>
        <v>0</v>
      </c>
      <c r="AG427" s="410">
        <f t="shared" si="741" ref="AG427">AG426</f>
        <v>0</v>
      </c>
      <c r="AH427" s="410">
        <f t="shared" si="742" ref="AH427">AH426</f>
        <v>0</v>
      </c>
      <c r="AI427" s="410">
        <f t="shared" si="743" ref="AI427">AI426</f>
        <v>0</v>
      </c>
      <c r="AJ427" s="410">
        <f t="shared" si="744" ref="AJ427">AJ426</f>
        <v>0</v>
      </c>
      <c r="AK427" s="410">
        <f t="shared" si="745" ref="AK427">AK426</f>
        <v>0</v>
      </c>
      <c r="AL427" s="410">
        <f t="shared" si="746" ref="AL427">AL426</f>
        <v>0</v>
      </c>
      <c r="AM427" s="311"/>
    </row>
    <row r="428" spans="1:39" ht="15.5" outlineLevel="1">
      <c r="A428" s="526"/>
      <c r="B428" s="521"/>
      <c r="C428" s="312"/>
      <c r="D428" s="755"/>
      <c r="E428" s="755"/>
      <c r="F428" s="755"/>
      <c r="G428" s="755"/>
      <c r="H428" s="755"/>
      <c r="I428" s="755"/>
      <c r="J428" s="755"/>
      <c r="K428" s="755"/>
      <c r="L428" s="755"/>
      <c r="M428" s="755"/>
      <c r="N428" s="750"/>
      <c r="O428" s="755"/>
      <c r="P428" s="755"/>
      <c r="Q428" s="755"/>
      <c r="R428" s="755"/>
      <c r="S428" s="755"/>
      <c r="T428" s="755"/>
      <c r="U428" s="755"/>
      <c r="V428" s="755"/>
      <c r="W428" s="755"/>
      <c r="X428" s="755"/>
      <c r="Y428" s="765"/>
      <c r="Z428" s="766"/>
      <c r="AA428" s="765"/>
      <c r="AB428" s="765"/>
      <c r="AC428" s="765"/>
      <c r="AD428" s="765"/>
      <c r="AE428" s="765"/>
      <c r="AF428" s="415"/>
      <c r="AG428" s="415"/>
      <c r="AH428" s="415"/>
      <c r="AI428" s="415"/>
      <c r="AJ428" s="415"/>
      <c r="AK428" s="415"/>
      <c r="AL428" s="415"/>
      <c r="AM428" s="313"/>
    </row>
    <row r="429" spans="1:39" ht="31" outlineLevel="1">
      <c r="A429" s="526">
        <v>9</v>
      </c>
      <c r="B429" s="425"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764"/>
      <c r="Z429" s="759"/>
      <c r="AA429" s="759"/>
      <c r="AB429" s="759"/>
      <c r="AC429" s="759"/>
      <c r="AD429" s="759"/>
      <c r="AE429" s="759"/>
      <c r="AF429" s="414"/>
      <c r="AG429" s="414"/>
      <c r="AH429" s="414"/>
      <c r="AI429" s="414"/>
      <c r="AJ429" s="414"/>
      <c r="AK429" s="414"/>
      <c r="AL429" s="414"/>
      <c r="AM429" s="296">
        <f>SUM(Y429:AL429)</f>
        <v>0</v>
      </c>
    </row>
    <row r="430" spans="1:39" ht="15.5" outlineLevel="1">
      <c r="A430" s="526"/>
      <c r="B430" s="428"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760">
        <f>Y429</f>
        <v>0</v>
      </c>
      <c r="Z430" s="760">
        <f t="shared" si="747" ref="Z430:AE430">Z429</f>
        <v>0</v>
      </c>
      <c r="AA430" s="760">
        <f t="shared" si="747"/>
        <v>0</v>
      </c>
      <c r="AB430" s="760">
        <f t="shared" si="747"/>
        <v>0</v>
      </c>
      <c r="AC430" s="760">
        <f t="shared" si="747"/>
        <v>0</v>
      </c>
      <c r="AD430" s="760">
        <f t="shared" si="747"/>
        <v>0</v>
      </c>
      <c r="AE430" s="760">
        <f t="shared" si="747"/>
        <v>0</v>
      </c>
      <c r="AF430" s="410">
        <f t="shared" si="748" ref="AF430">AF429</f>
        <v>0</v>
      </c>
      <c r="AG430" s="410">
        <f t="shared" si="749" ref="AG430">AG429</f>
        <v>0</v>
      </c>
      <c r="AH430" s="410">
        <f t="shared" si="750" ref="AH430">AH429</f>
        <v>0</v>
      </c>
      <c r="AI430" s="410">
        <f t="shared" si="751" ref="AI430">AI429</f>
        <v>0</v>
      </c>
      <c r="AJ430" s="410">
        <f t="shared" si="752" ref="AJ430">AJ429</f>
        <v>0</v>
      </c>
      <c r="AK430" s="410">
        <f t="shared" si="753" ref="AK430">AK429</f>
        <v>0</v>
      </c>
      <c r="AL430" s="410">
        <f t="shared" si="754" ref="AL430">AL429</f>
        <v>0</v>
      </c>
      <c r="AM430" s="311"/>
    </row>
    <row r="431" spans="1:39" ht="15.5" outlineLevel="1">
      <c r="A431" s="526"/>
      <c r="B431" s="521"/>
      <c r="C431" s="312"/>
      <c r="D431" s="755"/>
      <c r="E431" s="755"/>
      <c r="F431" s="755"/>
      <c r="G431" s="755"/>
      <c r="H431" s="755"/>
      <c r="I431" s="755"/>
      <c r="J431" s="755"/>
      <c r="K431" s="755"/>
      <c r="L431" s="755"/>
      <c r="M431" s="755"/>
      <c r="N431" s="750"/>
      <c r="O431" s="755"/>
      <c r="P431" s="755"/>
      <c r="Q431" s="755"/>
      <c r="R431" s="755"/>
      <c r="S431" s="755"/>
      <c r="T431" s="755"/>
      <c r="U431" s="755"/>
      <c r="V431" s="755"/>
      <c r="W431" s="755"/>
      <c r="X431" s="755"/>
      <c r="Y431" s="765"/>
      <c r="Z431" s="765"/>
      <c r="AA431" s="765"/>
      <c r="AB431" s="765"/>
      <c r="AC431" s="765"/>
      <c r="AD431" s="765"/>
      <c r="AE431" s="765"/>
      <c r="AF431" s="415"/>
      <c r="AG431" s="415"/>
      <c r="AH431" s="415"/>
      <c r="AI431" s="415"/>
      <c r="AJ431" s="415"/>
      <c r="AK431" s="415"/>
      <c r="AL431" s="415"/>
      <c r="AM431" s="313"/>
    </row>
    <row r="432" spans="1:39" ht="31" outlineLevel="1">
      <c r="A432" s="526">
        <v>10</v>
      </c>
      <c r="B432" s="425"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764"/>
      <c r="Z432" s="759"/>
      <c r="AA432" s="759"/>
      <c r="AB432" s="759"/>
      <c r="AC432" s="759"/>
      <c r="AD432" s="759"/>
      <c r="AE432" s="759"/>
      <c r="AF432" s="414"/>
      <c r="AG432" s="414"/>
      <c r="AH432" s="414"/>
      <c r="AI432" s="414"/>
      <c r="AJ432" s="414"/>
      <c r="AK432" s="414"/>
      <c r="AL432" s="414"/>
      <c r="AM432" s="296">
        <f>SUM(Y432:AL432)</f>
        <v>0</v>
      </c>
    </row>
    <row r="433" spans="1:39" ht="15.5" outlineLevel="1">
      <c r="A433" s="526"/>
      <c r="B433" s="428"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760">
        <f>Y432</f>
        <v>0</v>
      </c>
      <c r="Z433" s="760">
        <f t="shared" si="755" ref="Z433:AE433">Z432</f>
        <v>0</v>
      </c>
      <c r="AA433" s="760">
        <f t="shared" si="755"/>
        <v>0</v>
      </c>
      <c r="AB433" s="760">
        <f t="shared" si="755"/>
        <v>0</v>
      </c>
      <c r="AC433" s="760">
        <f t="shared" si="755"/>
        <v>0</v>
      </c>
      <c r="AD433" s="760">
        <f t="shared" si="755"/>
        <v>0</v>
      </c>
      <c r="AE433" s="760">
        <f t="shared" si="755"/>
        <v>0</v>
      </c>
      <c r="AF433" s="410">
        <f t="shared" si="756" ref="AF433">AF432</f>
        <v>0</v>
      </c>
      <c r="AG433" s="410">
        <f t="shared" si="757" ref="AG433">AG432</f>
        <v>0</v>
      </c>
      <c r="AH433" s="410">
        <f t="shared" si="758" ref="AH433">AH432</f>
        <v>0</v>
      </c>
      <c r="AI433" s="410">
        <f t="shared" si="759" ref="AI433">AI432</f>
        <v>0</v>
      </c>
      <c r="AJ433" s="410">
        <f t="shared" si="760" ref="AJ433">AJ432</f>
        <v>0</v>
      </c>
      <c r="AK433" s="410">
        <f t="shared" si="761" ref="AK433">AK432</f>
        <v>0</v>
      </c>
      <c r="AL433" s="410">
        <f t="shared" si="762" ref="AL433">AL432</f>
        <v>0</v>
      </c>
      <c r="AM433" s="311"/>
    </row>
    <row r="434" spans="1:39" ht="15.5" outlineLevel="1">
      <c r="A434" s="526"/>
      <c r="B434" s="521"/>
      <c r="C434" s="312"/>
      <c r="D434" s="755"/>
      <c r="E434" s="755"/>
      <c r="F434" s="755"/>
      <c r="G434" s="755"/>
      <c r="H434" s="755"/>
      <c r="I434" s="755"/>
      <c r="J434" s="755"/>
      <c r="K434" s="755"/>
      <c r="L434" s="755"/>
      <c r="M434" s="755"/>
      <c r="N434" s="750"/>
      <c r="O434" s="755"/>
      <c r="P434" s="755"/>
      <c r="Q434" s="755"/>
      <c r="R434" s="755"/>
      <c r="S434" s="755"/>
      <c r="T434" s="755"/>
      <c r="U434" s="755"/>
      <c r="V434" s="755"/>
      <c r="W434" s="755"/>
      <c r="X434" s="755"/>
      <c r="Y434" s="765"/>
      <c r="Z434" s="766"/>
      <c r="AA434" s="765"/>
      <c r="AB434" s="765"/>
      <c r="AC434" s="765"/>
      <c r="AD434" s="765"/>
      <c r="AE434" s="765"/>
      <c r="AF434" s="415"/>
      <c r="AG434" s="415"/>
      <c r="AH434" s="415"/>
      <c r="AI434" s="415"/>
      <c r="AJ434" s="415"/>
      <c r="AK434" s="415"/>
      <c r="AL434" s="415"/>
      <c r="AM434" s="313"/>
    </row>
    <row r="435" spans="1:39" ht="15.5" outlineLevel="1">
      <c r="A435" s="526"/>
      <c r="B435" s="498" t="s">
        <v>10</v>
      </c>
      <c r="C435" s="289"/>
      <c r="D435" s="754"/>
      <c r="E435" s="754"/>
      <c r="F435" s="754"/>
      <c r="G435" s="754"/>
      <c r="H435" s="754"/>
      <c r="I435" s="754"/>
      <c r="J435" s="754"/>
      <c r="K435" s="754"/>
      <c r="L435" s="754"/>
      <c r="M435" s="754"/>
      <c r="N435" s="756"/>
      <c r="O435" s="754"/>
      <c r="P435" s="754"/>
      <c r="Q435" s="754"/>
      <c r="R435" s="754"/>
      <c r="S435" s="754"/>
      <c r="T435" s="754"/>
      <c r="U435" s="754"/>
      <c r="V435" s="754"/>
      <c r="W435" s="754"/>
      <c r="X435" s="754"/>
      <c r="Y435" s="763"/>
      <c r="Z435" s="763"/>
      <c r="AA435" s="763"/>
      <c r="AB435" s="763"/>
      <c r="AC435" s="763"/>
      <c r="AD435" s="763"/>
      <c r="AE435" s="763"/>
      <c r="AF435" s="413"/>
      <c r="AG435" s="413"/>
      <c r="AH435" s="413"/>
      <c r="AI435" s="413"/>
      <c r="AJ435" s="413"/>
      <c r="AK435" s="413"/>
      <c r="AL435" s="413"/>
      <c r="AM435" s="292"/>
    </row>
    <row r="436" spans="1:39" ht="31" outlineLevel="1">
      <c r="A436" s="526">
        <v>11</v>
      </c>
      <c r="B436" s="425"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776"/>
      <c r="Z436" s="759"/>
      <c r="AA436" s="759"/>
      <c r="AB436" s="759"/>
      <c r="AC436" s="759"/>
      <c r="AD436" s="759"/>
      <c r="AE436" s="759"/>
      <c r="AF436" s="414"/>
      <c r="AG436" s="414"/>
      <c r="AH436" s="414"/>
      <c r="AI436" s="414"/>
      <c r="AJ436" s="414"/>
      <c r="AK436" s="414"/>
      <c r="AL436" s="414"/>
      <c r="AM436" s="296">
        <f>SUM(Y436:AL436)</f>
        <v>0</v>
      </c>
    </row>
    <row r="437" spans="1:39" ht="15.5" outlineLevel="1">
      <c r="A437" s="526"/>
      <c r="B437" s="428"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60">
        <f>Y436</f>
        <v>0</v>
      </c>
      <c r="Z437" s="760">
        <f t="shared" si="763" ref="Z437:AE437">Z436</f>
        <v>0</v>
      </c>
      <c r="AA437" s="760">
        <f t="shared" si="763"/>
        <v>0</v>
      </c>
      <c r="AB437" s="760">
        <f t="shared" si="763"/>
        <v>0</v>
      </c>
      <c r="AC437" s="760">
        <f t="shared" si="763"/>
        <v>0</v>
      </c>
      <c r="AD437" s="760">
        <f t="shared" si="763"/>
        <v>0</v>
      </c>
      <c r="AE437" s="760">
        <f t="shared" si="763"/>
        <v>0</v>
      </c>
      <c r="AF437" s="410">
        <f t="shared" si="764" ref="AF437">AF436</f>
        <v>0</v>
      </c>
      <c r="AG437" s="410">
        <f t="shared" si="765" ref="AG437">AG436</f>
        <v>0</v>
      </c>
      <c r="AH437" s="410">
        <f t="shared" si="766" ref="AH437">AH436</f>
        <v>0</v>
      </c>
      <c r="AI437" s="410">
        <f t="shared" si="767" ref="AI437">AI436</f>
        <v>0</v>
      </c>
      <c r="AJ437" s="410">
        <f t="shared" si="768" ref="AJ437">AJ436</f>
        <v>0</v>
      </c>
      <c r="AK437" s="410">
        <f t="shared" si="769" ref="AK437">AK436</f>
        <v>0</v>
      </c>
      <c r="AL437" s="410">
        <f t="shared" si="770" ref="AL437">AL436</f>
        <v>0</v>
      </c>
      <c r="AM437" s="297"/>
    </row>
    <row r="438" spans="1:39" ht="15.5" outlineLevel="1">
      <c r="A438" s="526"/>
      <c r="B438" s="522"/>
      <c r="C438" s="305"/>
      <c r="D438" s="750"/>
      <c r="E438" s="750"/>
      <c r="F438" s="750"/>
      <c r="G438" s="750"/>
      <c r="H438" s="750"/>
      <c r="I438" s="750"/>
      <c r="J438" s="750"/>
      <c r="K438" s="750"/>
      <c r="L438" s="750"/>
      <c r="M438" s="750"/>
      <c r="N438" s="750"/>
      <c r="O438" s="750"/>
      <c r="P438" s="750"/>
      <c r="Q438" s="750"/>
      <c r="R438" s="750"/>
      <c r="S438" s="750"/>
      <c r="T438" s="750"/>
      <c r="U438" s="750"/>
      <c r="V438" s="750"/>
      <c r="W438" s="750"/>
      <c r="X438" s="750"/>
      <c r="Y438" s="761"/>
      <c r="Z438" s="770"/>
      <c r="AA438" s="770"/>
      <c r="AB438" s="770"/>
      <c r="AC438" s="770"/>
      <c r="AD438" s="770"/>
      <c r="AE438" s="770"/>
      <c r="AF438" s="418"/>
      <c r="AG438" s="418"/>
      <c r="AH438" s="418"/>
      <c r="AI438" s="418"/>
      <c r="AJ438" s="418"/>
      <c r="AK438" s="418"/>
      <c r="AL438" s="418"/>
      <c r="AM438" s="306"/>
    </row>
    <row r="439" spans="1:39" ht="31" outlineLevel="1">
      <c r="A439" s="526">
        <v>12</v>
      </c>
      <c r="B439" s="425"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759"/>
      <c r="Z439" s="759"/>
      <c r="AA439" s="759"/>
      <c r="AB439" s="759"/>
      <c r="AC439" s="759"/>
      <c r="AD439" s="759"/>
      <c r="AE439" s="759"/>
      <c r="AF439" s="414"/>
      <c r="AG439" s="414"/>
      <c r="AH439" s="414"/>
      <c r="AI439" s="414"/>
      <c r="AJ439" s="414"/>
      <c r="AK439" s="414"/>
      <c r="AL439" s="414"/>
      <c r="AM439" s="296">
        <f>SUM(Y439:AL439)</f>
        <v>0</v>
      </c>
    </row>
    <row r="440" spans="1:39" ht="15.5" outlineLevel="1">
      <c r="A440" s="526"/>
      <c r="B440" s="428"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60">
        <f>Y439</f>
        <v>0</v>
      </c>
      <c r="Z440" s="760">
        <f t="shared" si="771" ref="Z440:AE440">Z439</f>
        <v>0</v>
      </c>
      <c r="AA440" s="760">
        <f t="shared" si="771"/>
        <v>0</v>
      </c>
      <c r="AB440" s="760">
        <f t="shared" si="771"/>
        <v>0</v>
      </c>
      <c r="AC440" s="760">
        <f t="shared" si="771"/>
        <v>0</v>
      </c>
      <c r="AD440" s="760">
        <f t="shared" si="771"/>
        <v>0</v>
      </c>
      <c r="AE440" s="760">
        <f t="shared" si="771"/>
        <v>0</v>
      </c>
      <c r="AF440" s="410">
        <f t="shared" si="772" ref="AF440">AF439</f>
        <v>0</v>
      </c>
      <c r="AG440" s="410">
        <f t="shared" si="773" ref="AG440">AG439</f>
        <v>0</v>
      </c>
      <c r="AH440" s="410">
        <f t="shared" si="774" ref="AH440">AH439</f>
        <v>0</v>
      </c>
      <c r="AI440" s="410">
        <f t="shared" si="775" ref="AI440">AI439</f>
        <v>0</v>
      </c>
      <c r="AJ440" s="410">
        <f t="shared" si="776" ref="AJ440">AJ439</f>
        <v>0</v>
      </c>
      <c r="AK440" s="410">
        <f t="shared" si="777" ref="AK440">AK439</f>
        <v>0</v>
      </c>
      <c r="AL440" s="410">
        <f t="shared" si="778" ref="AL440">AL439</f>
        <v>0</v>
      </c>
      <c r="AM440" s="297"/>
    </row>
    <row r="441" spans="1:39" ht="15.5" outlineLevel="1">
      <c r="A441" s="526"/>
      <c r="B441" s="522"/>
      <c r="C441" s="305"/>
      <c r="D441" s="750"/>
      <c r="E441" s="750"/>
      <c r="F441" s="750"/>
      <c r="G441" s="750"/>
      <c r="H441" s="750"/>
      <c r="I441" s="750"/>
      <c r="J441" s="750"/>
      <c r="K441" s="750"/>
      <c r="L441" s="750"/>
      <c r="M441" s="750"/>
      <c r="N441" s="750"/>
      <c r="O441" s="750"/>
      <c r="P441" s="750"/>
      <c r="Q441" s="750"/>
      <c r="R441" s="750"/>
      <c r="S441" s="750"/>
      <c r="T441" s="750"/>
      <c r="U441" s="750"/>
      <c r="V441" s="750"/>
      <c r="W441" s="750"/>
      <c r="X441" s="750"/>
      <c r="Y441" s="771"/>
      <c r="Z441" s="771"/>
      <c r="AA441" s="761"/>
      <c r="AB441" s="761"/>
      <c r="AC441" s="761"/>
      <c r="AD441" s="761"/>
      <c r="AE441" s="761"/>
      <c r="AF441" s="411"/>
      <c r="AG441" s="411"/>
      <c r="AH441" s="411"/>
      <c r="AI441" s="411"/>
      <c r="AJ441" s="411"/>
      <c r="AK441" s="411"/>
      <c r="AL441" s="411"/>
      <c r="AM441" s="306"/>
    </row>
    <row r="442" spans="1:39" ht="31" outlineLevel="1">
      <c r="A442" s="526">
        <v>13</v>
      </c>
      <c r="B442" s="425"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759"/>
      <c r="Z442" s="759"/>
      <c r="AA442" s="759"/>
      <c r="AB442" s="759"/>
      <c r="AC442" s="759"/>
      <c r="AD442" s="759"/>
      <c r="AE442" s="759"/>
      <c r="AF442" s="414"/>
      <c r="AG442" s="414"/>
      <c r="AH442" s="414"/>
      <c r="AI442" s="414"/>
      <c r="AJ442" s="414"/>
      <c r="AK442" s="414"/>
      <c r="AL442" s="414"/>
      <c r="AM442" s="296">
        <f>SUM(Y442:AL442)</f>
        <v>0</v>
      </c>
    </row>
    <row r="443" spans="1:39" ht="15.5" outlineLevel="1">
      <c r="A443" s="526"/>
      <c r="B443" s="428"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760">
        <f>Y442</f>
        <v>0</v>
      </c>
      <c r="Z443" s="760">
        <f t="shared" si="779" ref="Z443:AE443">Z442</f>
        <v>0</v>
      </c>
      <c r="AA443" s="760">
        <f t="shared" si="779"/>
        <v>0</v>
      </c>
      <c r="AB443" s="760">
        <f t="shared" si="779"/>
        <v>0</v>
      </c>
      <c r="AC443" s="760">
        <f t="shared" si="779"/>
        <v>0</v>
      </c>
      <c r="AD443" s="760">
        <f t="shared" si="779"/>
        <v>0</v>
      </c>
      <c r="AE443" s="760">
        <f t="shared" si="779"/>
        <v>0</v>
      </c>
      <c r="AF443" s="410">
        <f t="shared" si="780" ref="AF443">AF442</f>
        <v>0</v>
      </c>
      <c r="AG443" s="410">
        <f t="shared" si="781" ref="AG443">AG442</f>
        <v>0</v>
      </c>
      <c r="AH443" s="410">
        <f t="shared" si="782" ref="AH443">AH442</f>
        <v>0</v>
      </c>
      <c r="AI443" s="410">
        <f t="shared" si="783" ref="AI443">AI442</f>
        <v>0</v>
      </c>
      <c r="AJ443" s="410">
        <f t="shared" si="784" ref="AJ443">AJ442</f>
        <v>0</v>
      </c>
      <c r="AK443" s="410">
        <f t="shared" si="785" ref="AK443">AK442</f>
        <v>0</v>
      </c>
      <c r="AL443" s="410">
        <f t="shared" si="786" ref="AL443">AL442</f>
        <v>0</v>
      </c>
      <c r="AM443" s="306"/>
    </row>
    <row r="444" spans="1:39" ht="15.5" outlineLevel="1">
      <c r="A444" s="526"/>
      <c r="B444" s="522"/>
      <c r="C444" s="305"/>
      <c r="D444" s="750"/>
      <c r="E444" s="750"/>
      <c r="F444" s="750"/>
      <c r="G444" s="750"/>
      <c r="H444" s="750"/>
      <c r="I444" s="750"/>
      <c r="J444" s="750"/>
      <c r="K444" s="750"/>
      <c r="L444" s="750"/>
      <c r="M444" s="750"/>
      <c r="N444" s="750"/>
      <c r="O444" s="750"/>
      <c r="P444" s="750"/>
      <c r="Q444" s="750"/>
      <c r="R444" s="750"/>
      <c r="S444" s="750"/>
      <c r="T444" s="750"/>
      <c r="U444" s="750"/>
      <c r="V444" s="750"/>
      <c r="W444" s="750"/>
      <c r="X444" s="750"/>
      <c r="Y444" s="761"/>
      <c r="Z444" s="761"/>
      <c r="AA444" s="761"/>
      <c r="AB444" s="761"/>
      <c r="AC444" s="761"/>
      <c r="AD444" s="761"/>
      <c r="AE444" s="761"/>
      <c r="AF444" s="411"/>
      <c r="AG444" s="411"/>
      <c r="AH444" s="411"/>
      <c r="AI444" s="411"/>
      <c r="AJ444" s="411"/>
      <c r="AK444" s="411"/>
      <c r="AL444" s="411"/>
      <c r="AM444" s="306"/>
    </row>
    <row r="445" spans="1:39" ht="15.5" outlineLevel="1">
      <c r="A445" s="526"/>
      <c r="B445" s="498" t="s">
        <v>107</v>
      </c>
      <c r="C445" s="289"/>
      <c r="D445" s="756"/>
      <c r="E445" s="756"/>
      <c r="F445" s="756"/>
      <c r="G445" s="756"/>
      <c r="H445" s="756"/>
      <c r="I445" s="756"/>
      <c r="J445" s="756"/>
      <c r="K445" s="756"/>
      <c r="L445" s="756"/>
      <c r="M445" s="756"/>
      <c r="N445" s="756"/>
      <c r="O445" s="756"/>
      <c r="P445" s="754"/>
      <c r="Q445" s="754"/>
      <c r="R445" s="754"/>
      <c r="S445" s="754"/>
      <c r="T445" s="754"/>
      <c r="U445" s="754"/>
      <c r="V445" s="754"/>
      <c r="W445" s="754"/>
      <c r="X445" s="754"/>
      <c r="Y445" s="763"/>
      <c r="Z445" s="763"/>
      <c r="AA445" s="763"/>
      <c r="AB445" s="763"/>
      <c r="AC445" s="763"/>
      <c r="AD445" s="763"/>
      <c r="AE445" s="763"/>
      <c r="AF445" s="413"/>
      <c r="AG445" s="413"/>
      <c r="AH445" s="413"/>
      <c r="AI445" s="413"/>
      <c r="AJ445" s="413"/>
      <c r="AK445" s="413"/>
      <c r="AL445" s="413"/>
      <c r="AM445" s="292"/>
    </row>
    <row r="446" spans="1:39" ht="15.5" outlineLevel="1">
      <c r="A446" s="526">
        <v>14</v>
      </c>
      <c r="B446" s="522"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759"/>
      <c r="Z446" s="759"/>
      <c r="AA446" s="759"/>
      <c r="AB446" s="759"/>
      <c r="AC446" s="759"/>
      <c r="AD446" s="759"/>
      <c r="AE446" s="759"/>
      <c r="AF446" s="409"/>
      <c r="AG446" s="409"/>
      <c r="AH446" s="409"/>
      <c r="AI446" s="409"/>
      <c r="AJ446" s="409"/>
      <c r="AK446" s="409"/>
      <c r="AL446" s="409"/>
      <c r="AM446" s="296">
        <f>SUM(Y446:AL446)</f>
        <v>0</v>
      </c>
    </row>
    <row r="447" spans="1:39" ht="15.5" outlineLevel="1">
      <c r="A447" s="526"/>
      <c r="B447" s="428"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760">
        <f>Y446</f>
        <v>0</v>
      </c>
      <c r="Z447" s="760">
        <f t="shared" si="787" ref="Z447:AE447">Z446</f>
        <v>0</v>
      </c>
      <c r="AA447" s="760">
        <f t="shared" si="787"/>
        <v>0</v>
      </c>
      <c r="AB447" s="760">
        <f t="shared" si="787"/>
        <v>0</v>
      </c>
      <c r="AC447" s="760">
        <f t="shared" si="787"/>
        <v>0</v>
      </c>
      <c r="AD447" s="760">
        <f t="shared" si="787"/>
        <v>0</v>
      </c>
      <c r="AE447" s="760">
        <f t="shared" si="787"/>
        <v>0</v>
      </c>
      <c r="AF447" s="410">
        <f t="shared" si="788" ref="AF447">AF446</f>
        <v>0</v>
      </c>
      <c r="AG447" s="410">
        <f t="shared" si="789" ref="AG447">AG446</f>
        <v>0</v>
      </c>
      <c r="AH447" s="410">
        <f t="shared" si="790" ref="AH447">AH446</f>
        <v>0</v>
      </c>
      <c r="AI447" s="410">
        <f t="shared" si="791" ref="AI447">AI446</f>
        <v>0</v>
      </c>
      <c r="AJ447" s="410">
        <f t="shared" si="792" ref="AJ447">AJ446</f>
        <v>0</v>
      </c>
      <c r="AK447" s="410">
        <f t="shared" si="793" ref="AK447">AK446</f>
        <v>0</v>
      </c>
      <c r="AL447" s="410">
        <f t="shared" si="794" ref="AL447">AL446</f>
        <v>0</v>
      </c>
      <c r="AM447" s="297"/>
    </row>
    <row r="448" spans="1:40" ht="15.5" outlineLevel="1">
      <c r="A448" s="526"/>
      <c r="B448" s="522"/>
      <c r="C448" s="305"/>
      <c r="D448" s="750"/>
      <c r="E448" s="750"/>
      <c r="F448" s="750"/>
      <c r="G448" s="750"/>
      <c r="H448" s="750"/>
      <c r="I448" s="750"/>
      <c r="J448" s="750"/>
      <c r="K448" s="750"/>
      <c r="L448" s="750"/>
      <c r="M448" s="750"/>
      <c r="N448" s="751"/>
      <c r="O448" s="750"/>
      <c r="P448" s="750"/>
      <c r="Q448" s="750"/>
      <c r="R448" s="750"/>
      <c r="S448" s="750"/>
      <c r="T448" s="750"/>
      <c r="U448" s="750"/>
      <c r="V448" s="750"/>
      <c r="W448" s="750"/>
      <c r="X448" s="750"/>
      <c r="Y448" s="761"/>
      <c r="Z448" s="761"/>
      <c r="AA448" s="761"/>
      <c r="AB448" s="761"/>
      <c r="AC448" s="761"/>
      <c r="AD448" s="761"/>
      <c r="AE448" s="761"/>
      <c r="AF448" s="411"/>
      <c r="AG448" s="411"/>
      <c r="AH448" s="411"/>
      <c r="AI448" s="411"/>
      <c r="AJ448" s="411"/>
      <c r="AK448" s="411"/>
      <c r="AL448" s="411"/>
      <c r="AM448" s="301"/>
      <c r="AN448" s="623"/>
    </row>
    <row r="449" spans="1:40" s="309" customFormat="1" ht="15.5" outlineLevel="1">
      <c r="A449" s="526"/>
      <c r="B449" s="498" t="s">
        <v>489</v>
      </c>
      <c r="C449" s="291"/>
      <c r="D449" s="750"/>
      <c r="E449" s="750"/>
      <c r="F449" s="750"/>
      <c r="G449" s="750"/>
      <c r="H449" s="750"/>
      <c r="I449" s="750"/>
      <c r="J449" s="750"/>
      <c r="K449" s="750"/>
      <c r="L449" s="750"/>
      <c r="M449" s="750"/>
      <c r="N449" s="750"/>
      <c r="O449" s="750"/>
      <c r="P449" s="750"/>
      <c r="Q449" s="750"/>
      <c r="R449" s="750"/>
      <c r="S449" s="750"/>
      <c r="T449" s="750"/>
      <c r="U449" s="750"/>
      <c r="V449" s="750"/>
      <c r="W449" s="750"/>
      <c r="X449" s="750"/>
      <c r="Y449" s="761"/>
      <c r="Z449" s="761"/>
      <c r="AA449" s="761"/>
      <c r="AB449" s="761"/>
      <c r="AC449" s="761"/>
      <c r="AD449" s="761"/>
      <c r="AE449" s="765"/>
      <c r="AF449" s="415"/>
      <c r="AG449" s="415"/>
      <c r="AH449" s="415"/>
      <c r="AI449" s="415"/>
      <c r="AJ449" s="415"/>
      <c r="AK449" s="415"/>
      <c r="AL449" s="415"/>
      <c r="AM449" s="511"/>
      <c r="AN449" s="624"/>
    </row>
    <row r="450" spans="1:39" ht="15.5" outlineLevel="1">
      <c r="A450" s="526">
        <v>15</v>
      </c>
      <c r="B450" s="428"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759"/>
      <c r="Z450" s="759"/>
      <c r="AA450" s="759"/>
      <c r="AB450" s="759"/>
      <c r="AC450" s="759"/>
      <c r="AD450" s="759"/>
      <c r="AE450" s="759"/>
      <c r="AF450" s="409"/>
      <c r="AG450" s="409"/>
      <c r="AH450" s="409"/>
      <c r="AI450" s="409"/>
      <c r="AJ450" s="409"/>
      <c r="AK450" s="409"/>
      <c r="AL450" s="409"/>
      <c r="AM450" s="296">
        <f>SUM(Y450:AL450)</f>
        <v>0</v>
      </c>
    </row>
    <row r="451" spans="1:39" ht="15.5" outlineLevel="1">
      <c r="A451" s="526"/>
      <c r="B451" s="428"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760">
        <f>Y450</f>
        <v>0</v>
      </c>
      <c r="Z451" s="760">
        <f t="shared" si="795" ref="Z451:AE451">Z450</f>
        <v>0</v>
      </c>
      <c r="AA451" s="760">
        <f t="shared" si="795"/>
        <v>0</v>
      </c>
      <c r="AB451" s="760">
        <f t="shared" si="795"/>
        <v>0</v>
      </c>
      <c r="AC451" s="760">
        <f t="shared" si="795"/>
        <v>0</v>
      </c>
      <c r="AD451" s="760">
        <f t="shared" si="795"/>
        <v>0</v>
      </c>
      <c r="AE451" s="760">
        <f t="shared" si="795"/>
        <v>0</v>
      </c>
      <c r="AF451" s="410">
        <f t="shared" si="796" ref="AF451:AL451">AF450</f>
        <v>0</v>
      </c>
      <c r="AG451" s="410">
        <f t="shared" si="796"/>
        <v>0</v>
      </c>
      <c r="AH451" s="410">
        <f t="shared" si="796"/>
        <v>0</v>
      </c>
      <c r="AI451" s="410">
        <f t="shared" si="796"/>
        <v>0</v>
      </c>
      <c r="AJ451" s="410">
        <f t="shared" si="796"/>
        <v>0</v>
      </c>
      <c r="AK451" s="410">
        <f t="shared" si="796"/>
        <v>0</v>
      </c>
      <c r="AL451" s="410">
        <f t="shared" si="796"/>
        <v>0</v>
      </c>
      <c r="AM451" s="297"/>
    </row>
    <row r="452" spans="1:39" ht="15.5" outlineLevel="1">
      <c r="A452" s="526"/>
      <c r="B452" s="522"/>
      <c r="C452" s="305"/>
      <c r="D452" s="750"/>
      <c r="E452" s="750"/>
      <c r="F452" s="750"/>
      <c r="G452" s="750"/>
      <c r="H452" s="750"/>
      <c r="I452" s="750"/>
      <c r="J452" s="750"/>
      <c r="K452" s="750"/>
      <c r="L452" s="750"/>
      <c r="M452" s="750"/>
      <c r="N452" s="750"/>
      <c r="O452" s="750"/>
      <c r="P452" s="750"/>
      <c r="Q452" s="750"/>
      <c r="R452" s="750"/>
      <c r="S452" s="750"/>
      <c r="T452" s="750"/>
      <c r="U452" s="750"/>
      <c r="V452" s="750"/>
      <c r="W452" s="750"/>
      <c r="X452" s="750"/>
      <c r="Y452" s="761"/>
      <c r="Z452" s="761"/>
      <c r="AA452" s="761"/>
      <c r="AB452" s="761"/>
      <c r="AC452" s="761"/>
      <c r="AD452" s="761"/>
      <c r="AE452" s="761"/>
      <c r="AF452" s="411"/>
      <c r="AG452" s="411"/>
      <c r="AH452" s="411"/>
      <c r="AI452" s="411"/>
      <c r="AJ452" s="411"/>
      <c r="AK452" s="411"/>
      <c r="AL452" s="411"/>
      <c r="AM452" s="306"/>
    </row>
    <row r="453" spans="1:39" s="283" customFormat="1" ht="15.5" outlineLevel="1">
      <c r="A453" s="526">
        <v>16</v>
      </c>
      <c r="B453" s="523"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759"/>
      <c r="Z453" s="759"/>
      <c r="AA453" s="759"/>
      <c r="AB453" s="759"/>
      <c r="AC453" s="759"/>
      <c r="AD453" s="759"/>
      <c r="AE453" s="759"/>
      <c r="AF453" s="409"/>
      <c r="AG453" s="409"/>
      <c r="AH453" s="409"/>
      <c r="AI453" s="409"/>
      <c r="AJ453" s="409"/>
      <c r="AK453" s="409"/>
      <c r="AL453" s="409"/>
      <c r="AM453" s="296">
        <f>SUM(Y453:AL453)</f>
        <v>0</v>
      </c>
    </row>
    <row r="454" spans="1:39" s="283" customFormat="1" ht="15.5" outlineLevel="1">
      <c r="A454" s="526"/>
      <c r="B454" s="523"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760">
        <f>Y453</f>
        <v>0</v>
      </c>
      <c r="Z454" s="760">
        <f t="shared" si="797" ref="Z454:AE454">Z453</f>
        <v>0</v>
      </c>
      <c r="AA454" s="760">
        <f t="shared" si="797"/>
        <v>0</v>
      </c>
      <c r="AB454" s="760">
        <f t="shared" si="797"/>
        <v>0</v>
      </c>
      <c r="AC454" s="760">
        <f t="shared" si="797"/>
        <v>0</v>
      </c>
      <c r="AD454" s="760">
        <f t="shared" si="797"/>
        <v>0</v>
      </c>
      <c r="AE454" s="760">
        <f t="shared" si="797"/>
        <v>0</v>
      </c>
      <c r="AF454" s="410">
        <f t="shared" si="798" ref="AF454:AL454">AF453</f>
        <v>0</v>
      </c>
      <c r="AG454" s="410">
        <f t="shared" si="798"/>
        <v>0</v>
      </c>
      <c r="AH454" s="410">
        <f t="shared" si="798"/>
        <v>0</v>
      </c>
      <c r="AI454" s="410">
        <f t="shared" si="798"/>
        <v>0</v>
      </c>
      <c r="AJ454" s="410">
        <f t="shared" si="798"/>
        <v>0</v>
      </c>
      <c r="AK454" s="410">
        <f t="shared" si="798"/>
        <v>0</v>
      </c>
      <c r="AL454" s="410">
        <f t="shared" si="798"/>
        <v>0</v>
      </c>
      <c r="AM454" s="297"/>
    </row>
    <row r="455" spans="1:39" s="283" customFormat="1" ht="15.5" outlineLevel="1">
      <c r="A455" s="526"/>
      <c r="B455" s="523"/>
      <c r="C455" s="291"/>
      <c r="D455" s="750"/>
      <c r="E455" s="750"/>
      <c r="F455" s="750"/>
      <c r="G455" s="750"/>
      <c r="H455" s="750"/>
      <c r="I455" s="750"/>
      <c r="J455" s="750"/>
      <c r="K455" s="750"/>
      <c r="L455" s="750"/>
      <c r="M455" s="750"/>
      <c r="N455" s="750"/>
      <c r="O455" s="750"/>
      <c r="P455" s="750"/>
      <c r="Q455" s="750"/>
      <c r="R455" s="750"/>
      <c r="S455" s="750"/>
      <c r="T455" s="750"/>
      <c r="U455" s="750"/>
      <c r="V455" s="750"/>
      <c r="W455" s="750"/>
      <c r="X455" s="750"/>
      <c r="Y455" s="761"/>
      <c r="Z455" s="761"/>
      <c r="AA455" s="761"/>
      <c r="AB455" s="761"/>
      <c r="AC455" s="761"/>
      <c r="AD455" s="761"/>
      <c r="AE455" s="765"/>
      <c r="AF455" s="415"/>
      <c r="AG455" s="415"/>
      <c r="AH455" s="415"/>
      <c r="AI455" s="415"/>
      <c r="AJ455" s="415"/>
      <c r="AK455" s="415"/>
      <c r="AL455" s="415"/>
      <c r="AM455" s="313"/>
    </row>
    <row r="456" spans="1:39" ht="15.5" outlineLevel="1">
      <c r="A456" s="526"/>
      <c r="B456" s="524" t="s">
        <v>495</v>
      </c>
      <c r="C456" s="319"/>
      <c r="D456" s="756"/>
      <c r="E456" s="754"/>
      <c r="F456" s="754"/>
      <c r="G456" s="754"/>
      <c r="H456" s="754"/>
      <c r="I456" s="754"/>
      <c r="J456" s="754"/>
      <c r="K456" s="754"/>
      <c r="L456" s="754"/>
      <c r="M456" s="754"/>
      <c r="N456" s="756"/>
      <c r="O456" s="754"/>
      <c r="P456" s="754"/>
      <c r="Q456" s="754"/>
      <c r="R456" s="754"/>
      <c r="S456" s="754"/>
      <c r="T456" s="754"/>
      <c r="U456" s="754"/>
      <c r="V456" s="754"/>
      <c r="W456" s="754"/>
      <c r="X456" s="754"/>
      <c r="Y456" s="763"/>
      <c r="Z456" s="763"/>
      <c r="AA456" s="763"/>
      <c r="AB456" s="763"/>
      <c r="AC456" s="763"/>
      <c r="AD456" s="763"/>
      <c r="AE456" s="763"/>
      <c r="AF456" s="413"/>
      <c r="AG456" s="413"/>
      <c r="AH456" s="413"/>
      <c r="AI456" s="413"/>
      <c r="AJ456" s="413"/>
      <c r="AK456" s="413"/>
      <c r="AL456" s="413"/>
      <c r="AM456" s="292"/>
    </row>
    <row r="457" spans="1:39" ht="15.5" outlineLevel="1">
      <c r="A457" s="526">
        <v>17</v>
      </c>
      <c r="B457" s="425"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776"/>
      <c r="Z457" s="759"/>
      <c r="AA457" s="759"/>
      <c r="AB457" s="759"/>
      <c r="AC457" s="759"/>
      <c r="AD457" s="759"/>
      <c r="AE457" s="759"/>
      <c r="AF457" s="414"/>
      <c r="AG457" s="414"/>
      <c r="AH457" s="414"/>
      <c r="AI457" s="414"/>
      <c r="AJ457" s="414"/>
      <c r="AK457" s="414"/>
      <c r="AL457" s="414"/>
      <c r="AM457" s="296">
        <f>SUM(Y457:AL457)</f>
        <v>0</v>
      </c>
    </row>
    <row r="458" spans="1:39" ht="15.5" outlineLevel="1">
      <c r="A458" s="526"/>
      <c r="B458" s="428"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760">
        <f>Y457</f>
        <v>0</v>
      </c>
      <c r="Z458" s="760">
        <f t="shared" si="799" ref="Z458:AE458">Z457</f>
        <v>0</v>
      </c>
      <c r="AA458" s="760">
        <f t="shared" si="799"/>
        <v>0</v>
      </c>
      <c r="AB458" s="760">
        <f t="shared" si="799"/>
        <v>0</v>
      </c>
      <c r="AC458" s="760">
        <f t="shared" si="799"/>
        <v>0</v>
      </c>
      <c r="AD458" s="760">
        <f t="shared" si="799"/>
        <v>0</v>
      </c>
      <c r="AE458" s="760">
        <f t="shared" si="799"/>
        <v>0</v>
      </c>
      <c r="AF458" s="410">
        <f t="shared" si="800" ref="AF458:AL458">AF457</f>
        <v>0</v>
      </c>
      <c r="AG458" s="410">
        <f t="shared" si="800"/>
        <v>0</v>
      </c>
      <c r="AH458" s="410">
        <f t="shared" si="800"/>
        <v>0</v>
      </c>
      <c r="AI458" s="410">
        <f t="shared" si="800"/>
        <v>0</v>
      </c>
      <c r="AJ458" s="410">
        <f t="shared" si="800"/>
        <v>0</v>
      </c>
      <c r="AK458" s="410">
        <f t="shared" si="800"/>
        <v>0</v>
      </c>
      <c r="AL458" s="410">
        <f t="shared" si="800"/>
        <v>0</v>
      </c>
      <c r="AM458" s="306"/>
    </row>
    <row r="459" spans="1:39" ht="15.5" outlineLevel="1">
      <c r="A459" s="526"/>
      <c r="B459" s="428"/>
      <c r="C459" s="291"/>
      <c r="D459" s="750"/>
      <c r="E459" s="750"/>
      <c r="F459" s="750"/>
      <c r="G459" s="750"/>
      <c r="H459" s="750"/>
      <c r="I459" s="750"/>
      <c r="J459" s="750"/>
      <c r="K459" s="750"/>
      <c r="L459" s="750"/>
      <c r="M459" s="750"/>
      <c r="N459" s="750"/>
      <c r="O459" s="750"/>
      <c r="P459" s="750"/>
      <c r="Q459" s="750"/>
      <c r="R459" s="750"/>
      <c r="S459" s="750"/>
      <c r="T459" s="750"/>
      <c r="U459" s="750"/>
      <c r="V459" s="750"/>
      <c r="W459" s="750"/>
      <c r="X459" s="750"/>
      <c r="Y459" s="771"/>
      <c r="Z459" s="780"/>
      <c r="AA459" s="780"/>
      <c r="AB459" s="780"/>
      <c r="AC459" s="780"/>
      <c r="AD459" s="780"/>
      <c r="AE459" s="780"/>
      <c r="AF459" s="422"/>
      <c r="AG459" s="422"/>
      <c r="AH459" s="422"/>
      <c r="AI459" s="422"/>
      <c r="AJ459" s="422"/>
      <c r="AK459" s="422"/>
      <c r="AL459" s="422"/>
      <c r="AM459" s="306"/>
    </row>
    <row r="460" spans="1:39" ht="15.5" outlineLevel="1">
      <c r="A460" s="526">
        <v>18</v>
      </c>
      <c r="B460" s="425"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776"/>
      <c r="Z460" s="759"/>
      <c r="AA460" s="759"/>
      <c r="AB460" s="759"/>
      <c r="AC460" s="759"/>
      <c r="AD460" s="759"/>
      <c r="AE460" s="759"/>
      <c r="AF460" s="414"/>
      <c r="AG460" s="414"/>
      <c r="AH460" s="414"/>
      <c r="AI460" s="414"/>
      <c r="AJ460" s="414"/>
      <c r="AK460" s="414"/>
      <c r="AL460" s="414"/>
      <c r="AM460" s="296">
        <f>SUM(Y460:AL460)</f>
        <v>0</v>
      </c>
    </row>
    <row r="461" spans="1:39" ht="15.5" outlineLevel="1">
      <c r="A461" s="526"/>
      <c r="B461" s="428"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760">
        <f>Y460</f>
        <v>0</v>
      </c>
      <c r="Z461" s="760">
        <f t="shared" si="801" ref="Z461:AE461">Z460</f>
        <v>0</v>
      </c>
      <c r="AA461" s="760">
        <f t="shared" si="801"/>
        <v>0</v>
      </c>
      <c r="AB461" s="760">
        <f t="shared" si="801"/>
        <v>0</v>
      </c>
      <c r="AC461" s="760">
        <f t="shared" si="801"/>
        <v>0</v>
      </c>
      <c r="AD461" s="760">
        <f t="shared" si="801"/>
        <v>0</v>
      </c>
      <c r="AE461" s="760">
        <f t="shared" si="801"/>
        <v>0</v>
      </c>
      <c r="AF461" s="410">
        <f t="shared" si="802" ref="AF461:AL461">AF460</f>
        <v>0</v>
      </c>
      <c r="AG461" s="410">
        <f t="shared" si="802"/>
        <v>0</v>
      </c>
      <c r="AH461" s="410">
        <f t="shared" si="802"/>
        <v>0</v>
      </c>
      <c r="AI461" s="410">
        <f t="shared" si="802"/>
        <v>0</v>
      </c>
      <c r="AJ461" s="410">
        <f t="shared" si="802"/>
        <v>0</v>
      </c>
      <c r="AK461" s="410">
        <f t="shared" si="802"/>
        <v>0</v>
      </c>
      <c r="AL461" s="410">
        <f t="shared" si="802"/>
        <v>0</v>
      </c>
      <c r="AM461" s="306"/>
    </row>
    <row r="462" spans="1:39" ht="15.5" outlineLevel="1">
      <c r="A462" s="526"/>
      <c r="B462" s="427"/>
      <c r="C462" s="291"/>
      <c r="D462" s="750"/>
      <c r="E462" s="750"/>
      <c r="F462" s="750"/>
      <c r="G462" s="750"/>
      <c r="H462" s="750"/>
      <c r="I462" s="750"/>
      <c r="J462" s="750"/>
      <c r="K462" s="750"/>
      <c r="L462" s="750"/>
      <c r="M462" s="750"/>
      <c r="N462" s="750"/>
      <c r="O462" s="750"/>
      <c r="P462" s="750"/>
      <c r="Q462" s="750"/>
      <c r="R462" s="750"/>
      <c r="S462" s="750"/>
      <c r="T462" s="750"/>
      <c r="U462" s="750"/>
      <c r="V462" s="750"/>
      <c r="W462" s="750"/>
      <c r="X462" s="750"/>
      <c r="Y462" s="772"/>
      <c r="Z462" s="773"/>
      <c r="AA462" s="773"/>
      <c r="AB462" s="773"/>
      <c r="AC462" s="773"/>
      <c r="AD462" s="773"/>
      <c r="AE462" s="773"/>
      <c r="AF462" s="421"/>
      <c r="AG462" s="421"/>
      <c r="AH462" s="421"/>
      <c r="AI462" s="421"/>
      <c r="AJ462" s="421"/>
      <c r="AK462" s="421"/>
      <c r="AL462" s="421"/>
      <c r="AM462" s="297"/>
    </row>
    <row r="463" spans="1:39" ht="15.5" outlineLevel="1">
      <c r="A463" s="526">
        <v>19</v>
      </c>
      <c r="B463" s="425"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776"/>
      <c r="Z463" s="759"/>
      <c r="AA463" s="759"/>
      <c r="AB463" s="759"/>
      <c r="AC463" s="759"/>
      <c r="AD463" s="759"/>
      <c r="AE463" s="759"/>
      <c r="AF463" s="414"/>
      <c r="AG463" s="414"/>
      <c r="AH463" s="414"/>
      <c r="AI463" s="414"/>
      <c r="AJ463" s="414"/>
      <c r="AK463" s="414"/>
      <c r="AL463" s="414"/>
      <c r="AM463" s="296">
        <f>SUM(Y463:AL463)</f>
        <v>0</v>
      </c>
    </row>
    <row r="464" spans="1:39" ht="15.5" outlineLevel="1">
      <c r="A464" s="526"/>
      <c r="B464" s="428"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760">
        <f>Y463</f>
        <v>0</v>
      </c>
      <c r="Z464" s="760">
        <f t="shared" si="803" ref="Z464:AE464">Z463</f>
        <v>0</v>
      </c>
      <c r="AA464" s="760">
        <f t="shared" si="803"/>
        <v>0</v>
      </c>
      <c r="AB464" s="760">
        <f t="shared" si="803"/>
        <v>0</v>
      </c>
      <c r="AC464" s="760">
        <f t="shared" si="803"/>
        <v>0</v>
      </c>
      <c r="AD464" s="760">
        <f t="shared" si="803"/>
        <v>0</v>
      </c>
      <c r="AE464" s="760">
        <f t="shared" si="803"/>
        <v>0</v>
      </c>
      <c r="AF464" s="410">
        <f t="shared" si="804" ref="AF464:AL464">AF463</f>
        <v>0</v>
      </c>
      <c r="AG464" s="410">
        <f t="shared" si="804"/>
        <v>0</v>
      </c>
      <c r="AH464" s="410">
        <f t="shared" si="804"/>
        <v>0</v>
      </c>
      <c r="AI464" s="410">
        <f t="shared" si="804"/>
        <v>0</v>
      </c>
      <c r="AJ464" s="410">
        <f t="shared" si="804"/>
        <v>0</v>
      </c>
      <c r="AK464" s="410">
        <f t="shared" si="804"/>
        <v>0</v>
      </c>
      <c r="AL464" s="410">
        <f t="shared" si="804"/>
        <v>0</v>
      </c>
      <c r="AM464" s="297"/>
    </row>
    <row r="465" spans="1:39" ht="15.5" outlineLevel="1">
      <c r="A465" s="526"/>
      <c r="B465" s="427"/>
      <c r="C465" s="291"/>
      <c r="D465" s="750"/>
      <c r="E465" s="750"/>
      <c r="F465" s="750"/>
      <c r="G465" s="750"/>
      <c r="H465" s="750"/>
      <c r="I465" s="750"/>
      <c r="J465" s="750"/>
      <c r="K465" s="750"/>
      <c r="L465" s="750"/>
      <c r="M465" s="750"/>
      <c r="N465" s="750"/>
      <c r="O465" s="750"/>
      <c r="P465" s="750"/>
      <c r="Q465" s="750"/>
      <c r="R465" s="750"/>
      <c r="S465" s="750"/>
      <c r="T465" s="750"/>
      <c r="U465" s="750"/>
      <c r="V465" s="750"/>
      <c r="W465" s="750"/>
      <c r="X465" s="750"/>
      <c r="Y465" s="761"/>
      <c r="Z465" s="761"/>
      <c r="AA465" s="761"/>
      <c r="AB465" s="761"/>
      <c r="AC465" s="761"/>
      <c r="AD465" s="761"/>
      <c r="AE465" s="761"/>
      <c r="AF465" s="411"/>
      <c r="AG465" s="411"/>
      <c r="AH465" s="411"/>
      <c r="AI465" s="411"/>
      <c r="AJ465" s="411"/>
      <c r="AK465" s="411"/>
      <c r="AL465" s="411"/>
      <c r="AM465" s="306"/>
    </row>
    <row r="466" spans="1:39" ht="15.5" outlineLevel="1">
      <c r="A466" s="526">
        <v>20</v>
      </c>
      <c r="B466" s="425"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776"/>
      <c r="Z466" s="759"/>
      <c r="AA466" s="759"/>
      <c r="AB466" s="759"/>
      <c r="AC466" s="759"/>
      <c r="AD466" s="759"/>
      <c r="AE466" s="759"/>
      <c r="AF466" s="414"/>
      <c r="AG466" s="414"/>
      <c r="AH466" s="414"/>
      <c r="AI466" s="414"/>
      <c r="AJ466" s="414"/>
      <c r="AK466" s="414"/>
      <c r="AL466" s="414"/>
      <c r="AM466" s="296">
        <f>SUM(Y466:AL466)</f>
        <v>0</v>
      </c>
    </row>
    <row r="467" spans="1:39" ht="15.5" outlineLevel="1">
      <c r="A467" s="526"/>
      <c r="B467" s="428"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760">
        <f t="shared" si="805" ref="Y467:AE467">Y466</f>
        <v>0</v>
      </c>
      <c r="Z467" s="760">
        <f t="shared" si="805"/>
        <v>0</v>
      </c>
      <c r="AA467" s="760">
        <f t="shared" si="805"/>
        <v>0</v>
      </c>
      <c r="AB467" s="760">
        <f t="shared" si="805"/>
        <v>0</v>
      </c>
      <c r="AC467" s="760">
        <f t="shared" si="805"/>
        <v>0</v>
      </c>
      <c r="AD467" s="760">
        <f t="shared" si="805"/>
        <v>0</v>
      </c>
      <c r="AE467" s="760">
        <f t="shared" si="805"/>
        <v>0</v>
      </c>
      <c r="AF467" s="410">
        <f t="shared" si="806" ref="AF467:AL467">AF466</f>
        <v>0</v>
      </c>
      <c r="AG467" s="410">
        <f t="shared" si="806"/>
        <v>0</v>
      </c>
      <c r="AH467" s="410">
        <f t="shared" si="806"/>
        <v>0</v>
      </c>
      <c r="AI467" s="410">
        <f t="shared" si="806"/>
        <v>0</v>
      </c>
      <c r="AJ467" s="410">
        <f t="shared" si="806"/>
        <v>0</v>
      </c>
      <c r="AK467" s="410">
        <f t="shared" si="806"/>
        <v>0</v>
      </c>
      <c r="AL467" s="410">
        <f t="shared" si="806"/>
        <v>0</v>
      </c>
      <c r="AM467" s="306"/>
    </row>
    <row r="468" spans="1:39" ht="15.5" outlineLevel="1">
      <c r="A468" s="526"/>
      <c r="B468" s="525"/>
      <c r="C468" s="300"/>
      <c r="D468" s="750"/>
      <c r="E468" s="750"/>
      <c r="F468" s="750"/>
      <c r="G468" s="750"/>
      <c r="H468" s="750"/>
      <c r="I468" s="750"/>
      <c r="J468" s="750"/>
      <c r="K468" s="750"/>
      <c r="L468" s="750"/>
      <c r="M468" s="750"/>
      <c r="N468" s="758"/>
      <c r="O468" s="750"/>
      <c r="P468" s="750"/>
      <c r="Q468" s="750"/>
      <c r="R468" s="750"/>
      <c r="S468" s="750"/>
      <c r="T468" s="750"/>
      <c r="U468" s="750"/>
      <c r="V468" s="750"/>
      <c r="W468" s="750"/>
      <c r="X468" s="750"/>
      <c r="Y468" s="761"/>
      <c r="Z468" s="761"/>
      <c r="AA468" s="761"/>
      <c r="AB468" s="761"/>
      <c r="AC468" s="761"/>
      <c r="AD468" s="761"/>
      <c r="AE468" s="761"/>
      <c r="AF468" s="411"/>
      <c r="AG468" s="411"/>
      <c r="AH468" s="411"/>
      <c r="AI468" s="411"/>
      <c r="AJ468" s="411"/>
      <c r="AK468" s="411"/>
      <c r="AL468" s="411"/>
      <c r="AM468" s="306"/>
    </row>
    <row r="469" spans="1:39" ht="15.5" outlineLevel="1">
      <c r="A469" s="526"/>
      <c r="B469" s="518" t="s">
        <v>502</v>
      </c>
      <c r="C469" s="291"/>
      <c r="D469" s="750"/>
      <c r="E469" s="750"/>
      <c r="F469" s="750"/>
      <c r="G469" s="750"/>
      <c r="H469" s="750"/>
      <c r="I469" s="750"/>
      <c r="J469" s="750"/>
      <c r="K469" s="750"/>
      <c r="L469" s="750"/>
      <c r="M469" s="750"/>
      <c r="N469" s="750"/>
      <c r="O469" s="750"/>
      <c r="P469" s="750"/>
      <c r="Q469" s="750"/>
      <c r="R469" s="750"/>
      <c r="S469" s="750"/>
      <c r="T469" s="750"/>
      <c r="U469" s="750"/>
      <c r="V469" s="750"/>
      <c r="W469" s="750"/>
      <c r="X469" s="750"/>
      <c r="Y469" s="771"/>
      <c r="Z469" s="780"/>
      <c r="AA469" s="780"/>
      <c r="AB469" s="780"/>
      <c r="AC469" s="780"/>
      <c r="AD469" s="780"/>
      <c r="AE469" s="780"/>
      <c r="AF469" s="422"/>
      <c r="AG469" s="422"/>
      <c r="AH469" s="422"/>
      <c r="AI469" s="422"/>
      <c r="AJ469" s="422"/>
      <c r="AK469" s="422"/>
      <c r="AL469" s="422"/>
      <c r="AM469" s="306"/>
    </row>
    <row r="470" spans="1:39" ht="15.5" outlineLevel="1">
      <c r="A470" s="526"/>
      <c r="B470" s="498" t="s">
        <v>498</v>
      </c>
      <c r="C470" s="291"/>
      <c r="D470" s="750"/>
      <c r="E470" s="750"/>
      <c r="F470" s="750"/>
      <c r="G470" s="750"/>
      <c r="H470" s="750"/>
      <c r="I470" s="750"/>
      <c r="J470" s="750"/>
      <c r="K470" s="750"/>
      <c r="L470" s="750"/>
      <c r="M470" s="750"/>
      <c r="N470" s="750"/>
      <c r="O470" s="750"/>
      <c r="P470" s="750"/>
      <c r="Q470" s="750"/>
      <c r="R470" s="750"/>
      <c r="S470" s="750"/>
      <c r="T470" s="750"/>
      <c r="U470" s="750"/>
      <c r="V470" s="750"/>
      <c r="W470" s="750"/>
      <c r="X470" s="750"/>
      <c r="Y470" s="771"/>
      <c r="Z470" s="780"/>
      <c r="AA470" s="780"/>
      <c r="AB470" s="780"/>
      <c r="AC470" s="780"/>
      <c r="AD470" s="780"/>
      <c r="AE470" s="780"/>
      <c r="AF470" s="422"/>
      <c r="AG470" s="422"/>
      <c r="AH470" s="422"/>
      <c r="AI470" s="422"/>
      <c r="AJ470" s="422"/>
      <c r="AK470" s="422"/>
      <c r="AL470" s="422"/>
      <c r="AM470" s="306"/>
    </row>
    <row r="471" spans="1:39" ht="15.5" outlineLevel="1">
      <c r="A471" s="526">
        <v>21</v>
      </c>
      <c r="B471" s="425" t="s">
        <v>113</v>
      </c>
      <c r="C471" s="291" t="s">
        <v>25</v>
      </c>
      <c r="D471" s="295">
        <f>'7.  Persistence Report'!AW123</f>
        <v>2771539</v>
      </c>
      <c r="E471" s="295">
        <f>'7.  Persistence Report'!AX123</f>
        <v>2230710</v>
      </c>
      <c r="F471" s="295">
        <f>'7.  Persistence Report'!AY123</f>
        <v>2230710</v>
      </c>
      <c r="G471" s="295">
        <f>'7.  Persistence Report'!AZ123</f>
        <v>2230710</v>
      </c>
      <c r="H471" s="295">
        <f>'7.  Persistence Report'!BA123</f>
        <v>2230710</v>
      </c>
      <c r="I471" s="295">
        <f>'7.  Persistence Report'!BB123</f>
        <v>2230710</v>
      </c>
      <c r="J471" s="295">
        <f>'7.  Persistence Report'!BC123</f>
        <v>2230710</v>
      </c>
      <c r="K471" s="295">
        <f>'7.  Persistence Report'!BD123</f>
        <v>2230687</v>
      </c>
      <c r="L471" s="295">
        <f>'7.  Persistence Report'!BE123</f>
        <v>2230687</v>
      </c>
      <c r="M471" s="295">
        <f>'7.  Persistence Report'!BF123</f>
        <v>2225156</v>
      </c>
      <c r="N471" s="750"/>
      <c r="O471" s="295">
        <f>'7.  Persistence Report'!R123</f>
        <v>192</v>
      </c>
      <c r="P471" s="295">
        <f>'7.  Persistence Report'!S123</f>
        <v>156</v>
      </c>
      <c r="Q471" s="295">
        <f>'7.  Persistence Report'!T123</f>
        <v>156</v>
      </c>
      <c r="R471" s="295">
        <f>'7.  Persistence Report'!U123</f>
        <v>156</v>
      </c>
      <c r="S471" s="295">
        <f>'7.  Persistence Report'!V123</f>
        <v>156</v>
      </c>
      <c r="T471" s="295">
        <f>'7.  Persistence Report'!W123</f>
        <v>156</v>
      </c>
      <c r="U471" s="295">
        <f>'7.  Persistence Report'!X123</f>
        <v>156</v>
      </c>
      <c r="V471" s="295">
        <f>'7.  Persistence Report'!Y123</f>
        <v>156</v>
      </c>
      <c r="W471" s="295">
        <f>'7.  Persistence Report'!Z123</f>
        <v>156</v>
      </c>
      <c r="X471" s="295">
        <f>'7.  Persistence Report'!AA123</f>
        <v>156</v>
      </c>
      <c r="Y471" s="759">
        <v>1</v>
      </c>
      <c r="Z471" s="759"/>
      <c r="AA471" s="759"/>
      <c r="AB471" s="759"/>
      <c r="AC471" s="759"/>
      <c r="AD471" s="759"/>
      <c r="AE471" s="759"/>
      <c r="AF471" s="409"/>
      <c r="AG471" s="409"/>
      <c r="AH471" s="409"/>
      <c r="AI471" s="409"/>
      <c r="AJ471" s="409"/>
      <c r="AK471" s="409"/>
      <c r="AL471" s="409"/>
      <c r="AM471" s="296">
        <f>SUM(Y471:AL471)</f>
        <v>1</v>
      </c>
    </row>
    <row r="472" spans="1:39" ht="15.5" outlineLevel="1">
      <c r="A472" s="526"/>
      <c r="B472" s="428" t="s">
        <v>308</v>
      </c>
      <c r="C472" s="291" t="s">
        <v>163</v>
      </c>
      <c r="D472" s="295">
        <f>'7.  Persistence Report'!AW143</f>
        <v>3073.7186798762305</v>
      </c>
      <c r="E472" s="295">
        <f>'7.  Persistence Report'!AX143</f>
        <v>3061.0847121937386</v>
      </c>
      <c r="F472" s="295">
        <f>'7.  Persistence Report'!AY143</f>
        <v>3048.4507445112463</v>
      </c>
      <c r="G472" s="295"/>
      <c r="H472" s="295"/>
      <c r="I472" s="295"/>
      <c r="J472" s="295"/>
      <c r="K472" s="295"/>
      <c r="L472" s="295"/>
      <c r="M472" s="295"/>
      <c r="N472" s="750"/>
      <c r="O472" s="295">
        <f>'7.  Persistence Report'!R143</f>
        <v>0</v>
      </c>
      <c r="P472" s="295"/>
      <c r="Q472" s="295"/>
      <c r="R472" s="295"/>
      <c r="S472" s="295"/>
      <c r="T472" s="295"/>
      <c r="U472" s="295"/>
      <c r="V472" s="295"/>
      <c r="W472" s="295"/>
      <c r="X472" s="295"/>
      <c r="Y472" s="760">
        <f>Y471</f>
        <v>1</v>
      </c>
      <c r="Z472" s="760">
        <f t="shared" si="807" ref="Z472:AE472">Z471</f>
        <v>0</v>
      </c>
      <c r="AA472" s="760">
        <f t="shared" si="807"/>
        <v>0</v>
      </c>
      <c r="AB472" s="760">
        <f t="shared" si="807"/>
        <v>0</v>
      </c>
      <c r="AC472" s="760">
        <f t="shared" si="807"/>
        <v>0</v>
      </c>
      <c r="AD472" s="760">
        <f t="shared" si="807"/>
        <v>0</v>
      </c>
      <c r="AE472" s="760">
        <f t="shared" si="807"/>
        <v>0</v>
      </c>
      <c r="AF472" s="410">
        <f t="shared" si="808" ref="AF472">AF471</f>
        <v>0</v>
      </c>
      <c r="AG472" s="410">
        <f t="shared" si="809" ref="AG472">AG471</f>
        <v>0</v>
      </c>
      <c r="AH472" s="410">
        <f t="shared" si="810" ref="AH472">AH471</f>
        <v>0</v>
      </c>
      <c r="AI472" s="410">
        <f t="shared" si="811" ref="AI472">AI471</f>
        <v>0</v>
      </c>
      <c r="AJ472" s="410">
        <f t="shared" si="812" ref="AJ472">AJ471</f>
        <v>0</v>
      </c>
      <c r="AK472" s="410">
        <f t="shared" si="813" ref="AK472">AK471</f>
        <v>0</v>
      </c>
      <c r="AL472" s="410">
        <f t="shared" si="814" ref="AL472">AL471</f>
        <v>0</v>
      </c>
      <c r="AM472" s="306"/>
    </row>
    <row r="473" spans="1:39" ht="15.5" outlineLevel="1">
      <c r="A473" s="526"/>
      <c r="B473" s="428"/>
      <c r="C473" s="291"/>
      <c r="D473" s="750"/>
      <c r="E473" s="750"/>
      <c r="F473" s="750"/>
      <c r="G473" s="750"/>
      <c r="H473" s="750"/>
      <c r="I473" s="750"/>
      <c r="J473" s="750"/>
      <c r="K473" s="750"/>
      <c r="L473" s="750"/>
      <c r="M473" s="750"/>
      <c r="N473" s="750"/>
      <c r="O473" s="750"/>
      <c r="P473" s="750"/>
      <c r="Q473" s="750"/>
      <c r="R473" s="750"/>
      <c r="S473" s="750"/>
      <c r="T473" s="750"/>
      <c r="U473" s="750"/>
      <c r="V473" s="750"/>
      <c r="W473" s="750"/>
      <c r="X473" s="750"/>
      <c r="Y473" s="771"/>
      <c r="Z473" s="780"/>
      <c r="AA473" s="780"/>
      <c r="AB473" s="780"/>
      <c r="AC473" s="780"/>
      <c r="AD473" s="780"/>
      <c r="AE473" s="780"/>
      <c r="AF473" s="422"/>
      <c r="AG473" s="422"/>
      <c r="AH473" s="422"/>
      <c r="AI473" s="422"/>
      <c r="AJ473" s="422"/>
      <c r="AK473" s="422"/>
      <c r="AL473" s="422"/>
      <c r="AM473" s="306"/>
    </row>
    <row r="474" spans="1:39" ht="31" outlineLevel="1">
      <c r="A474" s="526">
        <v>22</v>
      </c>
      <c r="B474" s="425" t="s">
        <v>114</v>
      </c>
      <c r="C474" s="291" t="s">
        <v>25</v>
      </c>
      <c r="D474" s="295">
        <f>'7.  Persistence Report'!AW125</f>
        <v>385017</v>
      </c>
      <c r="E474" s="295">
        <f>'7.  Persistence Report'!AX125</f>
        <v>385017</v>
      </c>
      <c r="F474" s="295">
        <f>'7.  Persistence Report'!AY125</f>
        <v>385017</v>
      </c>
      <c r="G474" s="295">
        <f>'7.  Persistence Report'!AZ125</f>
        <v>385017</v>
      </c>
      <c r="H474" s="295">
        <f>'7.  Persistence Report'!BA125</f>
        <v>385017</v>
      </c>
      <c r="I474" s="295">
        <f>'7.  Persistence Report'!BB125</f>
        <v>385017</v>
      </c>
      <c r="J474" s="295">
        <f>'7.  Persistence Report'!BC125</f>
        <v>385017</v>
      </c>
      <c r="K474" s="295">
        <f>'7.  Persistence Report'!BD125</f>
        <v>385017</v>
      </c>
      <c r="L474" s="295">
        <f>'7.  Persistence Report'!BE125</f>
        <v>385017</v>
      </c>
      <c r="M474" s="295">
        <f>'7.  Persistence Report'!BF125</f>
        <v>385017</v>
      </c>
      <c r="N474" s="750"/>
      <c r="O474" s="295">
        <f>'7.  Persistence Report'!R125</f>
        <v>107</v>
      </c>
      <c r="P474" s="295">
        <f>'7.  Persistence Report'!S125</f>
        <v>107</v>
      </c>
      <c r="Q474" s="295">
        <f>'7.  Persistence Report'!T125</f>
        <v>107</v>
      </c>
      <c r="R474" s="295">
        <f>'7.  Persistence Report'!U125</f>
        <v>107</v>
      </c>
      <c r="S474" s="295">
        <f>'7.  Persistence Report'!V125</f>
        <v>107</v>
      </c>
      <c r="T474" s="295">
        <f>'7.  Persistence Report'!W125</f>
        <v>107</v>
      </c>
      <c r="U474" s="295">
        <f>'7.  Persistence Report'!X125</f>
        <v>107</v>
      </c>
      <c r="V474" s="295">
        <f>'7.  Persistence Report'!Y125</f>
        <v>107</v>
      </c>
      <c r="W474" s="295">
        <f>'7.  Persistence Report'!Z125</f>
        <v>107</v>
      </c>
      <c r="X474" s="295">
        <f>'7.  Persistence Report'!AA125</f>
        <v>107</v>
      </c>
      <c r="Y474" s="759">
        <v>1</v>
      </c>
      <c r="Z474" s="759"/>
      <c r="AA474" s="759"/>
      <c r="AB474" s="759"/>
      <c r="AC474" s="759"/>
      <c r="AD474" s="759"/>
      <c r="AE474" s="759"/>
      <c r="AF474" s="409"/>
      <c r="AG474" s="409"/>
      <c r="AH474" s="409"/>
      <c r="AI474" s="409"/>
      <c r="AJ474" s="409"/>
      <c r="AK474" s="409"/>
      <c r="AL474" s="409"/>
      <c r="AM474" s="296">
        <f>SUM(Y474:AL474)</f>
        <v>1</v>
      </c>
    </row>
    <row r="475" spans="1:39" ht="15.5" outlineLevel="1">
      <c r="A475" s="526"/>
      <c r="B475" s="428" t="s">
        <v>308</v>
      </c>
      <c r="C475" s="291" t="s">
        <v>163</v>
      </c>
      <c r="D475" s="295">
        <f>'7.  Persistence Report'!AW144</f>
        <v>41191.050054453</v>
      </c>
      <c r="E475" s="295">
        <f>'7.  Persistence Report'!AX144</f>
        <v>41191.050054453</v>
      </c>
      <c r="F475" s="295">
        <f>'7.  Persistence Report'!AY144</f>
        <v>41191.050054453</v>
      </c>
      <c r="G475" s="295"/>
      <c r="H475" s="295"/>
      <c r="I475" s="295"/>
      <c r="J475" s="295"/>
      <c r="K475" s="295"/>
      <c r="L475" s="295"/>
      <c r="M475" s="295"/>
      <c r="N475" s="750"/>
      <c r="O475" s="295">
        <f>'7.  Persistence Report'!R144</f>
        <v>11.928629880022589</v>
      </c>
      <c r="P475" s="295">
        <f>'7.  Persistence Report'!S144</f>
        <v>11.928629880022589</v>
      </c>
      <c r="Q475" s="295">
        <f>'7.  Persistence Report'!T144</f>
        <v>11.928629880022589</v>
      </c>
      <c r="R475" s="295"/>
      <c r="S475" s="295"/>
      <c r="T475" s="295"/>
      <c r="U475" s="295"/>
      <c r="V475" s="295"/>
      <c r="W475" s="295"/>
      <c r="X475" s="295"/>
      <c r="Y475" s="760">
        <f>Y474</f>
        <v>1</v>
      </c>
      <c r="Z475" s="760">
        <f t="shared" si="815" ref="Z475:AE475">Z474</f>
        <v>0</v>
      </c>
      <c r="AA475" s="760">
        <f t="shared" si="815"/>
        <v>0</v>
      </c>
      <c r="AB475" s="760">
        <f t="shared" si="815"/>
        <v>0</v>
      </c>
      <c r="AC475" s="760">
        <f t="shared" si="815"/>
        <v>0</v>
      </c>
      <c r="AD475" s="760">
        <f t="shared" si="815"/>
        <v>0</v>
      </c>
      <c r="AE475" s="760">
        <f t="shared" si="815"/>
        <v>0</v>
      </c>
      <c r="AF475" s="410">
        <f t="shared" si="816" ref="AF475">AF474</f>
        <v>0</v>
      </c>
      <c r="AG475" s="410">
        <f t="shared" si="817" ref="AG475">AG474</f>
        <v>0</v>
      </c>
      <c r="AH475" s="410">
        <f t="shared" si="818" ref="AH475">AH474</f>
        <v>0</v>
      </c>
      <c r="AI475" s="410">
        <f t="shared" si="819" ref="AI475">AI474</f>
        <v>0</v>
      </c>
      <c r="AJ475" s="410">
        <f t="shared" si="820" ref="AJ475">AJ474</f>
        <v>0</v>
      </c>
      <c r="AK475" s="410">
        <f t="shared" si="821" ref="AK475">AK474</f>
        <v>0</v>
      </c>
      <c r="AL475" s="410">
        <f t="shared" si="822" ref="AL475">AL474</f>
        <v>0</v>
      </c>
      <c r="AM475" s="306"/>
    </row>
    <row r="476" spans="1:39" ht="15.5" outlineLevel="1">
      <c r="A476" s="526"/>
      <c r="B476" s="428"/>
      <c r="C476" s="291"/>
      <c r="D476" s="750"/>
      <c r="E476" s="750"/>
      <c r="F476" s="750"/>
      <c r="G476" s="750"/>
      <c r="H476" s="750"/>
      <c r="I476" s="750"/>
      <c r="J476" s="750"/>
      <c r="K476" s="750"/>
      <c r="L476" s="750"/>
      <c r="M476" s="750"/>
      <c r="N476" s="750"/>
      <c r="O476" s="750"/>
      <c r="P476" s="750"/>
      <c r="Q476" s="750"/>
      <c r="R476" s="750"/>
      <c r="S476" s="750"/>
      <c r="T476" s="750"/>
      <c r="U476" s="750"/>
      <c r="V476" s="750"/>
      <c r="W476" s="750"/>
      <c r="X476" s="750"/>
      <c r="Y476" s="771"/>
      <c r="Z476" s="780"/>
      <c r="AA476" s="780"/>
      <c r="AB476" s="780"/>
      <c r="AC476" s="780"/>
      <c r="AD476" s="780"/>
      <c r="AE476" s="780"/>
      <c r="AF476" s="422"/>
      <c r="AG476" s="422"/>
      <c r="AH476" s="422"/>
      <c r="AI476" s="422"/>
      <c r="AJ476" s="422"/>
      <c r="AK476" s="422"/>
      <c r="AL476" s="422"/>
      <c r="AM476" s="306"/>
    </row>
    <row r="477" spans="1:39" ht="31" outlineLevel="1">
      <c r="A477" s="526">
        <v>23</v>
      </c>
      <c r="B477" s="425" t="s">
        <v>115</v>
      </c>
      <c r="C477" s="291" t="s">
        <v>25</v>
      </c>
      <c r="D477" s="295"/>
      <c r="E477" s="295"/>
      <c r="F477" s="295"/>
      <c r="G477" s="295"/>
      <c r="H477" s="295"/>
      <c r="I477" s="295"/>
      <c r="J477" s="295"/>
      <c r="K477" s="295"/>
      <c r="L477" s="295"/>
      <c r="M477" s="295"/>
      <c r="N477" s="750"/>
      <c r="O477" s="295"/>
      <c r="P477" s="295"/>
      <c r="Q477" s="295"/>
      <c r="R477" s="295"/>
      <c r="S477" s="295"/>
      <c r="T477" s="295"/>
      <c r="U477" s="295"/>
      <c r="V477" s="295"/>
      <c r="W477" s="295"/>
      <c r="X477" s="295"/>
      <c r="Y477" s="759"/>
      <c r="Z477" s="759"/>
      <c r="AA477" s="759"/>
      <c r="AB477" s="759"/>
      <c r="AC477" s="759"/>
      <c r="AD477" s="759"/>
      <c r="AE477" s="759"/>
      <c r="AF477" s="409"/>
      <c r="AG477" s="409"/>
      <c r="AH477" s="409"/>
      <c r="AI477" s="409"/>
      <c r="AJ477" s="409"/>
      <c r="AK477" s="409"/>
      <c r="AL477" s="409"/>
      <c r="AM477" s="296">
        <f>SUM(Y477:AL477)</f>
        <v>0</v>
      </c>
    </row>
    <row r="478" spans="1:39" ht="15.5" outlineLevel="1">
      <c r="A478" s="526"/>
      <c r="B478" s="428" t="s">
        <v>308</v>
      </c>
      <c r="C478" s="291" t="s">
        <v>163</v>
      </c>
      <c r="D478" s="295"/>
      <c r="E478" s="295"/>
      <c r="F478" s="295"/>
      <c r="G478" s="295"/>
      <c r="H478" s="295"/>
      <c r="I478" s="295"/>
      <c r="J478" s="295"/>
      <c r="K478" s="295"/>
      <c r="L478" s="295"/>
      <c r="M478" s="295"/>
      <c r="N478" s="750"/>
      <c r="O478" s="295"/>
      <c r="P478" s="295"/>
      <c r="Q478" s="295"/>
      <c r="R478" s="295"/>
      <c r="S478" s="295"/>
      <c r="T478" s="295"/>
      <c r="U478" s="295"/>
      <c r="V478" s="295"/>
      <c r="W478" s="295"/>
      <c r="X478" s="295"/>
      <c r="Y478" s="760">
        <f>Y477</f>
        <v>0</v>
      </c>
      <c r="Z478" s="760">
        <f t="shared" si="823" ref="Z478:AE478">Z477</f>
        <v>0</v>
      </c>
      <c r="AA478" s="760">
        <f t="shared" si="823"/>
        <v>0</v>
      </c>
      <c r="AB478" s="760">
        <f t="shared" si="823"/>
        <v>0</v>
      </c>
      <c r="AC478" s="760">
        <f t="shared" si="823"/>
        <v>0</v>
      </c>
      <c r="AD478" s="760">
        <f t="shared" si="823"/>
        <v>0</v>
      </c>
      <c r="AE478" s="760">
        <f t="shared" si="823"/>
        <v>0</v>
      </c>
      <c r="AF478" s="410">
        <f t="shared" si="824" ref="AF478">AF477</f>
        <v>0</v>
      </c>
      <c r="AG478" s="410">
        <f t="shared" si="825" ref="AG478">AG477</f>
        <v>0</v>
      </c>
      <c r="AH478" s="410">
        <f t="shared" si="826" ref="AH478">AH477</f>
        <v>0</v>
      </c>
      <c r="AI478" s="410">
        <f t="shared" si="827" ref="AI478">AI477</f>
        <v>0</v>
      </c>
      <c r="AJ478" s="410">
        <f t="shared" si="828" ref="AJ478">AJ477</f>
        <v>0</v>
      </c>
      <c r="AK478" s="410">
        <f t="shared" si="829" ref="AK478">AK477</f>
        <v>0</v>
      </c>
      <c r="AL478" s="410">
        <f t="shared" si="830" ref="AL478">AL477</f>
        <v>0</v>
      </c>
      <c r="AM478" s="306"/>
    </row>
    <row r="479" spans="1:39" ht="15.5" outlineLevel="1">
      <c r="A479" s="526"/>
      <c r="B479" s="427"/>
      <c r="C479" s="291"/>
      <c r="D479" s="750"/>
      <c r="E479" s="750"/>
      <c r="F479" s="750"/>
      <c r="G479" s="750"/>
      <c r="H479" s="750"/>
      <c r="I479" s="750"/>
      <c r="J479" s="750"/>
      <c r="K479" s="750"/>
      <c r="L479" s="750"/>
      <c r="M479" s="750"/>
      <c r="N479" s="750"/>
      <c r="O479" s="750"/>
      <c r="P479" s="750"/>
      <c r="Q479" s="750"/>
      <c r="R479" s="750"/>
      <c r="S479" s="750"/>
      <c r="T479" s="750"/>
      <c r="U479" s="750"/>
      <c r="V479" s="750"/>
      <c r="W479" s="750"/>
      <c r="X479" s="750"/>
      <c r="Y479" s="771"/>
      <c r="Z479" s="780"/>
      <c r="AA479" s="780"/>
      <c r="AB479" s="780"/>
      <c r="AC479" s="780"/>
      <c r="AD479" s="780"/>
      <c r="AE479" s="780"/>
      <c r="AF479" s="422"/>
      <c r="AG479" s="422"/>
      <c r="AH479" s="422"/>
      <c r="AI479" s="422"/>
      <c r="AJ479" s="422"/>
      <c r="AK479" s="422"/>
      <c r="AL479" s="422"/>
      <c r="AM479" s="306"/>
    </row>
    <row r="480" spans="1:39" ht="15.5" outlineLevel="1">
      <c r="A480" s="526">
        <v>24</v>
      </c>
      <c r="B480" s="425" t="s">
        <v>116</v>
      </c>
      <c r="C480" s="291" t="s">
        <v>25</v>
      </c>
      <c r="D480" s="295">
        <f>'7.  Persistence Report'!AW124</f>
        <v>2611264</v>
      </c>
      <c r="E480" s="295">
        <f>'7.  Persistence Report'!AX124</f>
        <v>1891047</v>
      </c>
      <c r="F480" s="295">
        <f>'7.  Persistence Report'!AY124</f>
        <v>1891047</v>
      </c>
      <c r="G480" s="295">
        <f>'7.  Persistence Report'!AZ124</f>
        <v>1891047</v>
      </c>
      <c r="H480" s="295">
        <f>'7.  Persistence Report'!BA124</f>
        <v>1891047</v>
      </c>
      <c r="I480" s="295">
        <f>'7.  Persistence Report'!BB124</f>
        <v>1891047</v>
      </c>
      <c r="J480" s="295">
        <f>'7.  Persistence Report'!BC124</f>
        <v>1891047</v>
      </c>
      <c r="K480" s="295">
        <f>'7.  Persistence Report'!BD124</f>
        <v>1891011</v>
      </c>
      <c r="L480" s="295">
        <f>'7.  Persistence Report'!BE124</f>
        <v>1891011</v>
      </c>
      <c r="M480" s="295">
        <f>'7.  Persistence Report'!BF124</f>
        <v>1891011</v>
      </c>
      <c r="N480" s="750"/>
      <c r="O480" s="295">
        <f>'7.  Persistence Report'!R124</f>
        <v>179</v>
      </c>
      <c r="P480" s="295">
        <f>'7.  Persistence Report'!S124</f>
        <v>131</v>
      </c>
      <c r="Q480" s="295">
        <f>'7.  Persistence Report'!T124</f>
        <v>131</v>
      </c>
      <c r="R480" s="295">
        <f>'7.  Persistence Report'!U124</f>
        <v>131</v>
      </c>
      <c r="S480" s="295">
        <f>'7.  Persistence Report'!V124</f>
        <v>131</v>
      </c>
      <c r="T480" s="295">
        <f>'7.  Persistence Report'!W124</f>
        <v>131</v>
      </c>
      <c r="U480" s="295">
        <f>'7.  Persistence Report'!X124</f>
        <v>131</v>
      </c>
      <c r="V480" s="295">
        <f>'7.  Persistence Report'!Y124</f>
        <v>131</v>
      </c>
      <c r="W480" s="295">
        <f>'7.  Persistence Report'!Z124</f>
        <v>131</v>
      </c>
      <c r="X480" s="295">
        <f>'7.  Persistence Report'!AA124</f>
        <v>131</v>
      </c>
      <c r="Y480" s="759">
        <v>1</v>
      </c>
      <c r="Z480" s="759"/>
      <c r="AA480" s="759"/>
      <c r="AB480" s="759"/>
      <c r="AC480" s="759"/>
      <c r="AD480" s="759"/>
      <c r="AE480" s="759"/>
      <c r="AF480" s="409"/>
      <c r="AG480" s="409"/>
      <c r="AH480" s="409"/>
      <c r="AI480" s="409"/>
      <c r="AJ480" s="409"/>
      <c r="AK480" s="409"/>
      <c r="AL480" s="409"/>
      <c r="AM480" s="296">
        <f>SUM(Y480:AL480)</f>
        <v>1</v>
      </c>
    </row>
    <row r="481" spans="1:39" ht="15.5" outlineLevel="1">
      <c r="A481" s="526"/>
      <c r="B481" s="428" t="s">
        <v>308</v>
      </c>
      <c r="C481" s="291" t="s">
        <v>163</v>
      </c>
      <c r="D481" s="295"/>
      <c r="E481" s="295"/>
      <c r="F481" s="295"/>
      <c r="G481" s="295"/>
      <c r="H481" s="295"/>
      <c r="I481" s="295"/>
      <c r="J481" s="295"/>
      <c r="K481" s="295"/>
      <c r="L481" s="295"/>
      <c r="M481" s="295"/>
      <c r="N481" s="750"/>
      <c r="O481" s="295"/>
      <c r="P481" s="295"/>
      <c r="Q481" s="295"/>
      <c r="R481" s="295"/>
      <c r="S481" s="295"/>
      <c r="T481" s="295"/>
      <c r="U481" s="295"/>
      <c r="V481" s="295"/>
      <c r="W481" s="295"/>
      <c r="X481" s="295"/>
      <c r="Y481" s="760">
        <f>Y480</f>
        <v>1</v>
      </c>
      <c r="Z481" s="760">
        <f t="shared" si="831" ref="Z481:AE481">Z480</f>
        <v>0</v>
      </c>
      <c r="AA481" s="760">
        <f t="shared" si="831"/>
        <v>0</v>
      </c>
      <c r="AB481" s="760">
        <f t="shared" si="831"/>
        <v>0</v>
      </c>
      <c r="AC481" s="760">
        <f t="shared" si="831"/>
        <v>0</v>
      </c>
      <c r="AD481" s="760">
        <f t="shared" si="831"/>
        <v>0</v>
      </c>
      <c r="AE481" s="760">
        <f t="shared" si="831"/>
        <v>0</v>
      </c>
      <c r="AF481" s="410">
        <f t="shared" si="832" ref="AF481">AF480</f>
        <v>0</v>
      </c>
      <c r="AG481" s="410">
        <f t="shared" si="833" ref="AG481">AG480</f>
        <v>0</v>
      </c>
      <c r="AH481" s="410">
        <f t="shared" si="834" ref="AH481">AH480</f>
        <v>0</v>
      </c>
      <c r="AI481" s="410">
        <f t="shared" si="835" ref="AI481">AI480</f>
        <v>0</v>
      </c>
      <c r="AJ481" s="410">
        <f t="shared" si="836" ref="AJ481">AJ480</f>
        <v>0</v>
      </c>
      <c r="AK481" s="410">
        <f t="shared" si="837" ref="AK481">AK480</f>
        <v>0</v>
      </c>
      <c r="AL481" s="410">
        <f t="shared" si="838" ref="AL481">AL480</f>
        <v>0</v>
      </c>
      <c r="AM481" s="306"/>
    </row>
    <row r="482" spans="1:39" ht="15.5" outlineLevel="1">
      <c r="A482" s="526"/>
      <c r="B482" s="428"/>
      <c r="C482" s="291"/>
      <c r="D482" s="750"/>
      <c r="E482" s="750"/>
      <c r="F482" s="750"/>
      <c r="G482" s="750"/>
      <c r="H482" s="750"/>
      <c r="I482" s="750"/>
      <c r="J482" s="750"/>
      <c r="K482" s="750"/>
      <c r="L482" s="750"/>
      <c r="M482" s="750"/>
      <c r="N482" s="750"/>
      <c r="O482" s="750"/>
      <c r="P482" s="750"/>
      <c r="Q482" s="750"/>
      <c r="R482" s="750"/>
      <c r="S482" s="750"/>
      <c r="T482" s="750"/>
      <c r="U482" s="750"/>
      <c r="V482" s="750"/>
      <c r="W482" s="750"/>
      <c r="X482" s="750"/>
      <c r="Y482" s="761"/>
      <c r="Z482" s="780"/>
      <c r="AA482" s="780"/>
      <c r="AB482" s="780"/>
      <c r="AC482" s="780"/>
      <c r="AD482" s="780"/>
      <c r="AE482" s="780"/>
      <c r="AF482" s="422"/>
      <c r="AG482" s="422"/>
      <c r="AH482" s="422"/>
      <c r="AI482" s="422"/>
      <c r="AJ482" s="422"/>
      <c r="AK482" s="422"/>
      <c r="AL482" s="422"/>
      <c r="AM482" s="306"/>
    </row>
    <row r="483" spans="1:39" ht="15.5" outlineLevel="1">
      <c r="A483" s="526"/>
      <c r="B483" s="498" t="s">
        <v>499</v>
      </c>
      <c r="C483" s="291"/>
      <c r="D483" s="750"/>
      <c r="E483" s="750"/>
      <c r="F483" s="750"/>
      <c r="G483" s="750"/>
      <c r="H483" s="750"/>
      <c r="I483" s="750"/>
      <c r="J483" s="750"/>
      <c r="K483" s="750"/>
      <c r="L483" s="750"/>
      <c r="M483" s="750"/>
      <c r="N483" s="750"/>
      <c r="O483" s="750"/>
      <c r="P483" s="750"/>
      <c r="Q483" s="750"/>
      <c r="R483" s="750"/>
      <c r="S483" s="750"/>
      <c r="T483" s="750"/>
      <c r="U483" s="750"/>
      <c r="V483" s="750"/>
      <c r="W483" s="750"/>
      <c r="X483" s="750"/>
      <c r="Y483" s="761"/>
      <c r="Z483" s="780"/>
      <c r="AA483" s="780"/>
      <c r="AB483" s="780"/>
      <c r="AC483" s="780"/>
      <c r="AD483" s="780"/>
      <c r="AE483" s="780"/>
      <c r="AF483" s="422"/>
      <c r="AG483" s="422"/>
      <c r="AH483" s="422"/>
      <c r="AI483" s="422"/>
      <c r="AJ483" s="422"/>
      <c r="AK483" s="422"/>
      <c r="AL483" s="422"/>
      <c r="AM483" s="306"/>
    </row>
    <row r="484" spans="1:39" ht="15.5" outlineLevel="1">
      <c r="A484" s="526">
        <v>25</v>
      </c>
      <c r="B484" s="425"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776"/>
      <c r="Z484" s="759"/>
      <c r="AA484" s="759"/>
      <c r="AB484" s="759"/>
      <c r="AC484" s="759"/>
      <c r="AD484" s="759"/>
      <c r="AE484" s="759"/>
      <c r="AF484" s="414"/>
      <c r="AG484" s="414"/>
      <c r="AH484" s="414"/>
      <c r="AI484" s="414"/>
      <c r="AJ484" s="414"/>
      <c r="AK484" s="414"/>
      <c r="AL484" s="414"/>
      <c r="AM484" s="296">
        <f>SUM(Y484:AL484)</f>
        <v>0</v>
      </c>
    </row>
    <row r="485" spans="1:39" ht="15.5" outlineLevel="1">
      <c r="A485" s="526"/>
      <c r="B485" s="428"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760">
        <f>Y484</f>
        <v>0</v>
      </c>
      <c r="Z485" s="760">
        <f t="shared" si="839" ref="Z485:AE485">Z484</f>
        <v>0</v>
      </c>
      <c r="AA485" s="760">
        <f t="shared" si="839"/>
        <v>0</v>
      </c>
      <c r="AB485" s="760">
        <f t="shared" si="839"/>
        <v>0</v>
      </c>
      <c r="AC485" s="760">
        <f t="shared" si="839"/>
        <v>0</v>
      </c>
      <c r="AD485" s="760">
        <f t="shared" si="839"/>
        <v>0</v>
      </c>
      <c r="AE485" s="760">
        <f t="shared" si="839"/>
        <v>0</v>
      </c>
      <c r="AF485" s="410">
        <f t="shared" si="840" ref="AF485">AF484</f>
        <v>0</v>
      </c>
      <c r="AG485" s="410">
        <f t="shared" si="841" ref="AG485">AG484</f>
        <v>0</v>
      </c>
      <c r="AH485" s="410">
        <f t="shared" si="842" ref="AH485">AH484</f>
        <v>0</v>
      </c>
      <c r="AI485" s="410">
        <f t="shared" si="843" ref="AI485">AI484</f>
        <v>0</v>
      </c>
      <c r="AJ485" s="410">
        <f t="shared" si="844" ref="AJ485">AJ484</f>
        <v>0</v>
      </c>
      <c r="AK485" s="410">
        <f t="shared" si="845" ref="AK485">AK484</f>
        <v>0</v>
      </c>
      <c r="AL485" s="410">
        <f t="shared" si="846" ref="AL485">AL484</f>
        <v>0</v>
      </c>
      <c r="AM485" s="306"/>
    </row>
    <row r="486" spans="1:39" ht="15.5" outlineLevel="1">
      <c r="A486" s="526"/>
      <c r="B486" s="428"/>
      <c r="C486" s="291"/>
      <c r="D486" s="750"/>
      <c r="E486" s="750"/>
      <c r="F486" s="750"/>
      <c r="G486" s="750"/>
      <c r="H486" s="750"/>
      <c r="I486" s="750"/>
      <c r="J486" s="750"/>
      <c r="K486" s="750"/>
      <c r="L486" s="750"/>
      <c r="M486" s="750"/>
      <c r="N486" s="750"/>
      <c r="O486" s="750"/>
      <c r="P486" s="750"/>
      <c r="Q486" s="750"/>
      <c r="R486" s="750"/>
      <c r="S486" s="750"/>
      <c r="T486" s="750"/>
      <c r="U486" s="750"/>
      <c r="V486" s="750"/>
      <c r="W486" s="750"/>
      <c r="X486" s="750"/>
      <c r="Y486" s="761"/>
      <c r="Z486" s="780"/>
      <c r="AA486" s="780"/>
      <c r="AB486" s="780"/>
      <c r="AC486" s="780"/>
      <c r="AD486" s="780"/>
      <c r="AE486" s="780"/>
      <c r="AF486" s="422"/>
      <c r="AG486" s="422"/>
      <c r="AH486" s="422"/>
      <c r="AI486" s="422"/>
      <c r="AJ486" s="422"/>
      <c r="AK486" s="422"/>
      <c r="AL486" s="422"/>
      <c r="AM486" s="306"/>
    </row>
    <row r="487" spans="1:39" ht="15.5" outlineLevel="1">
      <c r="A487" s="526">
        <v>26</v>
      </c>
      <c r="B487" s="425" t="s">
        <v>118</v>
      </c>
      <c r="C487" s="291" t="s">
        <v>25</v>
      </c>
      <c r="D487" s="295">
        <f>'7.  Persistence Report'!AW126</f>
        <v>2780342</v>
      </c>
      <c r="E487" s="295">
        <f>'7.  Persistence Report'!AX126</f>
        <v>2784605</v>
      </c>
      <c r="F487" s="295">
        <f>'7.  Persistence Report'!AY126</f>
        <v>2784605</v>
      </c>
      <c r="G487" s="295">
        <f>'7.  Persistence Report'!AZ126</f>
        <v>2784605</v>
      </c>
      <c r="H487" s="295">
        <f>'7.  Persistence Report'!BA126</f>
        <v>2784605</v>
      </c>
      <c r="I487" s="295">
        <f>'7.  Persistence Report'!BB126</f>
        <v>2681722</v>
      </c>
      <c r="J487" s="295">
        <f>'7.  Persistence Report'!BC126</f>
        <v>2681722</v>
      </c>
      <c r="K487" s="295">
        <f>'7.  Persistence Report'!BD126</f>
        <v>2681722</v>
      </c>
      <c r="L487" s="295">
        <f>'7.  Persistence Report'!BE126</f>
        <v>2680749</v>
      </c>
      <c r="M487" s="295">
        <f>'7.  Persistence Report'!BF126</f>
        <v>2680749</v>
      </c>
      <c r="N487" s="295">
        <v>12</v>
      </c>
      <c r="O487" s="295">
        <f>'7.  Persistence Report'!R126</f>
        <v>591</v>
      </c>
      <c r="P487" s="295">
        <f>'7.  Persistence Report'!S126</f>
        <v>592</v>
      </c>
      <c r="Q487" s="295">
        <f>'7.  Persistence Report'!T126</f>
        <v>592</v>
      </c>
      <c r="R487" s="295">
        <f>'7.  Persistence Report'!U126</f>
        <v>592</v>
      </c>
      <c r="S487" s="295">
        <f>'7.  Persistence Report'!V126</f>
        <v>592</v>
      </c>
      <c r="T487" s="295">
        <f>'7.  Persistence Report'!W126</f>
        <v>571</v>
      </c>
      <c r="U487" s="295">
        <f>'7.  Persistence Report'!X126</f>
        <v>571</v>
      </c>
      <c r="V487" s="295">
        <f>'7.  Persistence Report'!Y126</f>
        <v>571</v>
      </c>
      <c r="W487" s="295">
        <f>'7.  Persistence Report'!Z126</f>
        <v>571</v>
      </c>
      <c r="X487" s="295">
        <f>'7.  Persistence Report'!AA126</f>
        <v>571</v>
      </c>
      <c r="Y487" s="776"/>
      <c r="Z487" s="759">
        <v>0.37809999999999999</v>
      </c>
      <c r="AA487" s="759">
        <v>0.36109999999999998</v>
      </c>
      <c r="AB487" s="759">
        <v>0.26069999999999999</v>
      </c>
      <c r="AC487" s="759"/>
      <c r="AD487" s="759"/>
      <c r="AE487" s="759"/>
      <c r="AF487" s="414"/>
      <c r="AG487" s="414"/>
      <c r="AH487" s="414"/>
      <c r="AI487" s="414"/>
      <c r="AJ487" s="414"/>
      <c r="AK487" s="414"/>
      <c r="AL487" s="414"/>
      <c r="AM487" s="296">
        <f>SUM(Y487:AL487)</f>
        <v>0.99990000000000001</v>
      </c>
    </row>
    <row r="488" spans="1:39" ht="15.5" outlineLevel="1">
      <c r="A488" s="526"/>
      <c r="B488" s="428" t="s">
        <v>308</v>
      </c>
      <c r="C488" s="291" t="s">
        <v>163</v>
      </c>
      <c r="D488" s="295">
        <f>'7.  Persistence Report'!AW146+'7.  Persistence Report'!AW141</f>
        <v>522551.79638588312</v>
      </c>
      <c r="E488" s="295">
        <f>'7.  Persistence Report'!AX146+'7.  Persistence Report'!AX141</f>
        <v>480779.99220292037</v>
      </c>
      <c r="F488" s="295">
        <f>'7.  Persistence Report'!AY146+'7.  Persistence Report'!AY141</f>
        <v>479384.79131706408</v>
      </c>
      <c r="G488" s="295">
        <f>'7.  Persistence Report'!AZ146+'7.  Persistence Report'!AZ141</f>
        <v>477989.59043120779</v>
      </c>
      <c r="H488" s="295"/>
      <c r="I488" s="295"/>
      <c r="J488" s="295"/>
      <c r="K488" s="295"/>
      <c r="L488" s="295"/>
      <c r="M488" s="295"/>
      <c r="N488" s="295">
        <f>N487</f>
        <v>12</v>
      </c>
      <c r="O488" s="295">
        <f>'7.  Persistence Report'!R146+'7.  Persistence Report'!R141</f>
        <v>65.427868980111356</v>
      </c>
      <c r="P488" s="295">
        <f>'7.  Persistence Report'!S146+'7.  Persistence Report'!S141</f>
        <v>60.306998755435885</v>
      </c>
      <c r="Q488" s="295">
        <f>'7.  Persistence Report'!T146+'7.  Persistence Report'!T141</f>
        <v>60.131990686357568</v>
      </c>
      <c r="R488" s="295"/>
      <c r="S488" s="295"/>
      <c r="T488" s="295"/>
      <c r="U488" s="295"/>
      <c r="V488" s="295"/>
      <c r="W488" s="295"/>
      <c r="X488" s="295"/>
      <c r="Y488" s="760">
        <f>Y487</f>
        <v>0</v>
      </c>
      <c r="Z488" s="760">
        <f t="shared" si="847" ref="Z488:AE488">Z487</f>
        <v>0.37809999999999999</v>
      </c>
      <c r="AA488" s="760">
        <f t="shared" si="847"/>
        <v>0.36109999999999998</v>
      </c>
      <c r="AB488" s="760">
        <f t="shared" si="847"/>
        <v>0.26069999999999999</v>
      </c>
      <c r="AC488" s="760">
        <f t="shared" si="847"/>
        <v>0</v>
      </c>
      <c r="AD488" s="760">
        <f t="shared" si="847"/>
        <v>0</v>
      </c>
      <c r="AE488" s="760">
        <f t="shared" si="847"/>
        <v>0</v>
      </c>
      <c r="AF488" s="410">
        <f t="shared" si="848" ref="AF488">AF487</f>
        <v>0</v>
      </c>
      <c r="AG488" s="410">
        <f t="shared" si="849" ref="AG488">AG487</f>
        <v>0</v>
      </c>
      <c r="AH488" s="410">
        <f t="shared" si="850" ref="AH488">AH487</f>
        <v>0</v>
      </c>
      <c r="AI488" s="410">
        <f t="shared" si="851" ref="AI488">AI487</f>
        <v>0</v>
      </c>
      <c r="AJ488" s="410">
        <f t="shared" si="852" ref="AJ488">AJ487</f>
        <v>0</v>
      </c>
      <c r="AK488" s="410">
        <f t="shared" si="853" ref="AK488">AK487</f>
        <v>0</v>
      </c>
      <c r="AL488" s="410">
        <f t="shared" si="854" ref="AL488">AL487</f>
        <v>0</v>
      </c>
      <c r="AM488" s="306"/>
    </row>
    <row r="489" spans="1:39" ht="15.5" outlineLevel="1">
      <c r="A489" s="526"/>
      <c r="B489" s="428"/>
      <c r="C489" s="291"/>
      <c r="D489" s="750"/>
      <c r="E489" s="750"/>
      <c r="F489" s="750"/>
      <c r="G489" s="750"/>
      <c r="H489" s="750"/>
      <c r="I489" s="750"/>
      <c r="J489" s="750"/>
      <c r="K489" s="750"/>
      <c r="L489" s="750"/>
      <c r="M489" s="750"/>
      <c r="N489" s="750"/>
      <c r="O489" s="750"/>
      <c r="P489" s="750"/>
      <c r="Q489" s="750"/>
      <c r="R489" s="750"/>
      <c r="S489" s="750"/>
      <c r="T489" s="750"/>
      <c r="U489" s="750"/>
      <c r="V489" s="750"/>
      <c r="W489" s="750"/>
      <c r="X489" s="750"/>
      <c r="Y489" s="761"/>
      <c r="Z489" s="780"/>
      <c r="AA489" s="780"/>
      <c r="AB489" s="780"/>
      <c r="AC489" s="780"/>
      <c r="AD489" s="780"/>
      <c r="AE489" s="780"/>
      <c r="AF489" s="422"/>
      <c r="AG489" s="422"/>
      <c r="AH489" s="422"/>
      <c r="AI489" s="422"/>
      <c r="AJ489" s="422"/>
      <c r="AK489" s="422"/>
      <c r="AL489" s="422"/>
      <c r="AM489" s="306"/>
    </row>
    <row r="490" spans="1:39" ht="31" outlineLevel="1">
      <c r="A490" s="526">
        <v>27</v>
      </c>
      <c r="B490" s="425"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776"/>
      <c r="Z490" s="759"/>
      <c r="AA490" s="759"/>
      <c r="AB490" s="759"/>
      <c r="AC490" s="759"/>
      <c r="AD490" s="759"/>
      <c r="AE490" s="759"/>
      <c r="AF490" s="414"/>
      <c r="AG490" s="414"/>
      <c r="AH490" s="414"/>
      <c r="AI490" s="414"/>
      <c r="AJ490" s="414"/>
      <c r="AK490" s="414"/>
      <c r="AL490" s="414"/>
      <c r="AM490" s="296">
        <f>SUM(Y490:AL490)</f>
        <v>0</v>
      </c>
    </row>
    <row r="491" spans="1:39" ht="15.5" outlineLevel="1">
      <c r="A491" s="526"/>
      <c r="B491" s="428"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760">
        <f>Y490</f>
        <v>0</v>
      </c>
      <c r="Z491" s="760">
        <f t="shared" si="855" ref="Z491:AE491">Z490</f>
        <v>0</v>
      </c>
      <c r="AA491" s="760">
        <f t="shared" si="855"/>
        <v>0</v>
      </c>
      <c r="AB491" s="760">
        <f t="shared" si="855"/>
        <v>0</v>
      </c>
      <c r="AC491" s="760">
        <f t="shared" si="855"/>
        <v>0</v>
      </c>
      <c r="AD491" s="760">
        <f t="shared" si="855"/>
        <v>0</v>
      </c>
      <c r="AE491" s="760">
        <f t="shared" si="855"/>
        <v>0</v>
      </c>
      <c r="AF491" s="410">
        <f t="shared" si="856" ref="AF491">AF490</f>
        <v>0</v>
      </c>
      <c r="AG491" s="410">
        <f t="shared" si="857" ref="AG491">AG490</f>
        <v>0</v>
      </c>
      <c r="AH491" s="410">
        <f t="shared" si="858" ref="AH491">AH490</f>
        <v>0</v>
      </c>
      <c r="AI491" s="410">
        <f t="shared" si="859" ref="AI491">AI490</f>
        <v>0</v>
      </c>
      <c r="AJ491" s="410">
        <f t="shared" si="860" ref="AJ491">AJ490</f>
        <v>0</v>
      </c>
      <c r="AK491" s="410">
        <f t="shared" si="861" ref="AK491">AK490</f>
        <v>0</v>
      </c>
      <c r="AL491" s="410">
        <f t="shared" si="862" ref="AL491">AL490</f>
        <v>0</v>
      </c>
      <c r="AM491" s="306"/>
    </row>
    <row r="492" spans="1:39" ht="15.5" outlineLevel="1">
      <c r="A492" s="526"/>
      <c r="B492" s="428"/>
      <c r="C492" s="291"/>
      <c r="D492" s="750"/>
      <c r="E492" s="750"/>
      <c r="F492" s="750"/>
      <c r="G492" s="750"/>
      <c r="H492" s="750"/>
      <c r="I492" s="750"/>
      <c r="J492" s="750"/>
      <c r="K492" s="750"/>
      <c r="L492" s="750"/>
      <c r="M492" s="750"/>
      <c r="N492" s="750"/>
      <c r="O492" s="750"/>
      <c r="P492" s="750"/>
      <c r="Q492" s="750"/>
      <c r="R492" s="750"/>
      <c r="S492" s="750"/>
      <c r="T492" s="750"/>
      <c r="U492" s="750"/>
      <c r="V492" s="750"/>
      <c r="W492" s="750"/>
      <c r="X492" s="750"/>
      <c r="Y492" s="761"/>
      <c r="Z492" s="780"/>
      <c r="AA492" s="780"/>
      <c r="AB492" s="780"/>
      <c r="AC492" s="780"/>
      <c r="AD492" s="780"/>
      <c r="AE492" s="780"/>
      <c r="AF492" s="422"/>
      <c r="AG492" s="422"/>
      <c r="AH492" s="422"/>
      <c r="AI492" s="422"/>
      <c r="AJ492" s="422"/>
      <c r="AK492" s="422"/>
      <c r="AL492" s="422"/>
      <c r="AM492" s="306"/>
    </row>
    <row r="493" spans="1:39" ht="31" outlineLevel="1">
      <c r="A493" s="526">
        <v>28</v>
      </c>
      <c r="B493" s="425"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776"/>
      <c r="Z493" s="759"/>
      <c r="AA493" s="759"/>
      <c r="AB493" s="759"/>
      <c r="AC493" s="759"/>
      <c r="AD493" s="759"/>
      <c r="AE493" s="759"/>
      <c r="AF493" s="414"/>
      <c r="AG493" s="414"/>
      <c r="AH493" s="414"/>
      <c r="AI493" s="414"/>
      <c r="AJ493" s="414"/>
      <c r="AK493" s="414"/>
      <c r="AL493" s="414"/>
      <c r="AM493" s="296">
        <f>SUM(Y493:AL493)</f>
        <v>0</v>
      </c>
    </row>
    <row r="494" spans="1:39" ht="15.5" outlineLevel="1">
      <c r="A494" s="526"/>
      <c r="B494" s="428"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760">
        <f>Y493</f>
        <v>0</v>
      </c>
      <c r="Z494" s="760">
        <f t="shared" si="863" ref="Z494:AE494">Z493</f>
        <v>0</v>
      </c>
      <c r="AA494" s="760">
        <f t="shared" si="863"/>
        <v>0</v>
      </c>
      <c r="AB494" s="760">
        <f t="shared" si="863"/>
        <v>0</v>
      </c>
      <c r="AC494" s="760">
        <f t="shared" si="863"/>
        <v>0</v>
      </c>
      <c r="AD494" s="760">
        <f t="shared" si="863"/>
        <v>0</v>
      </c>
      <c r="AE494" s="760">
        <f t="shared" si="863"/>
        <v>0</v>
      </c>
      <c r="AF494" s="410">
        <f t="shared" si="864" ref="AF494">AF493</f>
        <v>0</v>
      </c>
      <c r="AG494" s="410">
        <f t="shared" si="865" ref="AG494">AG493</f>
        <v>0</v>
      </c>
      <c r="AH494" s="410">
        <f t="shared" si="866" ref="AH494">AH493</f>
        <v>0</v>
      </c>
      <c r="AI494" s="410">
        <f t="shared" si="867" ref="AI494">AI493</f>
        <v>0</v>
      </c>
      <c r="AJ494" s="410">
        <f t="shared" si="868" ref="AJ494">AJ493</f>
        <v>0</v>
      </c>
      <c r="AK494" s="410">
        <f t="shared" si="869" ref="AK494">AK493</f>
        <v>0</v>
      </c>
      <c r="AL494" s="410">
        <f t="shared" si="870" ref="AL494">AL493</f>
        <v>0</v>
      </c>
      <c r="AM494" s="306"/>
    </row>
    <row r="495" spans="1:39" ht="15.5" outlineLevel="1">
      <c r="A495" s="526"/>
      <c r="B495" s="428"/>
      <c r="C495" s="291"/>
      <c r="D495" s="750"/>
      <c r="E495" s="750"/>
      <c r="F495" s="750"/>
      <c r="G495" s="750"/>
      <c r="H495" s="750"/>
      <c r="I495" s="750"/>
      <c r="J495" s="750"/>
      <c r="K495" s="750"/>
      <c r="L495" s="750"/>
      <c r="M495" s="750"/>
      <c r="N495" s="750"/>
      <c r="O495" s="750"/>
      <c r="P495" s="750"/>
      <c r="Q495" s="750"/>
      <c r="R495" s="750"/>
      <c r="S495" s="750"/>
      <c r="T495" s="750"/>
      <c r="U495" s="750"/>
      <c r="V495" s="750"/>
      <c r="W495" s="750"/>
      <c r="X495" s="750"/>
      <c r="Y495" s="761"/>
      <c r="Z495" s="780"/>
      <c r="AA495" s="780"/>
      <c r="AB495" s="780"/>
      <c r="AC495" s="780"/>
      <c r="AD495" s="780"/>
      <c r="AE495" s="780"/>
      <c r="AF495" s="422"/>
      <c r="AG495" s="422"/>
      <c r="AH495" s="422"/>
      <c r="AI495" s="422"/>
      <c r="AJ495" s="422"/>
      <c r="AK495" s="422"/>
      <c r="AL495" s="422"/>
      <c r="AM495" s="306"/>
    </row>
    <row r="496" spans="1:39" ht="31" outlineLevel="1">
      <c r="A496" s="526">
        <v>29</v>
      </c>
      <c r="B496" s="425"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776"/>
      <c r="Z496" s="759"/>
      <c r="AA496" s="759"/>
      <c r="AB496" s="759"/>
      <c r="AC496" s="759"/>
      <c r="AD496" s="759"/>
      <c r="AE496" s="759"/>
      <c r="AF496" s="414"/>
      <c r="AG496" s="414"/>
      <c r="AH496" s="414"/>
      <c r="AI496" s="414"/>
      <c r="AJ496" s="414"/>
      <c r="AK496" s="414"/>
      <c r="AL496" s="414"/>
      <c r="AM496" s="296">
        <f>SUM(Y496:AL496)</f>
        <v>0</v>
      </c>
    </row>
    <row r="497" spans="1:39" ht="15.5" outlineLevel="1">
      <c r="A497" s="526"/>
      <c r="B497" s="428"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760">
        <f>Y496</f>
        <v>0</v>
      </c>
      <c r="Z497" s="760">
        <f t="shared" si="871" ref="Z497:AE497">Z496</f>
        <v>0</v>
      </c>
      <c r="AA497" s="760">
        <f t="shared" si="871"/>
        <v>0</v>
      </c>
      <c r="AB497" s="760">
        <f t="shared" si="871"/>
        <v>0</v>
      </c>
      <c r="AC497" s="760">
        <f t="shared" si="871"/>
        <v>0</v>
      </c>
      <c r="AD497" s="760">
        <f t="shared" si="871"/>
        <v>0</v>
      </c>
      <c r="AE497" s="760">
        <f t="shared" si="871"/>
        <v>0</v>
      </c>
      <c r="AF497" s="410">
        <f t="shared" si="872" ref="AF497">AF496</f>
        <v>0</v>
      </c>
      <c r="AG497" s="410">
        <f t="shared" si="873" ref="AG497">AG496</f>
        <v>0</v>
      </c>
      <c r="AH497" s="410">
        <f t="shared" si="874" ref="AH497">AH496</f>
        <v>0</v>
      </c>
      <c r="AI497" s="410">
        <f t="shared" si="875" ref="AI497">AI496</f>
        <v>0</v>
      </c>
      <c r="AJ497" s="410">
        <f t="shared" si="876" ref="AJ497">AJ496</f>
        <v>0</v>
      </c>
      <c r="AK497" s="410">
        <f t="shared" si="877" ref="AK497">AK496</f>
        <v>0</v>
      </c>
      <c r="AL497" s="410">
        <f t="shared" si="878" ref="AL497">AL496</f>
        <v>0</v>
      </c>
      <c r="AM497" s="306"/>
    </row>
    <row r="498" spans="1:39" ht="15.5" outlineLevel="1">
      <c r="A498" s="526"/>
      <c r="B498" s="428"/>
      <c r="C498" s="291"/>
      <c r="D498" s="750"/>
      <c r="E498" s="750"/>
      <c r="F498" s="750"/>
      <c r="G498" s="750"/>
      <c r="H498" s="750"/>
      <c r="I498" s="750"/>
      <c r="J498" s="750"/>
      <c r="K498" s="750"/>
      <c r="L498" s="750"/>
      <c r="M498" s="750"/>
      <c r="N498" s="750"/>
      <c r="O498" s="750"/>
      <c r="P498" s="750"/>
      <c r="Q498" s="750"/>
      <c r="R498" s="750"/>
      <c r="S498" s="750"/>
      <c r="T498" s="750"/>
      <c r="U498" s="750"/>
      <c r="V498" s="750"/>
      <c r="W498" s="750"/>
      <c r="X498" s="750"/>
      <c r="Y498" s="761"/>
      <c r="Z498" s="780"/>
      <c r="AA498" s="780"/>
      <c r="AB498" s="780"/>
      <c r="AC498" s="780"/>
      <c r="AD498" s="780"/>
      <c r="AE498" s="780"/>
      <c r="AF498" s="422"/>
      <c r="AG498" s="422"/>
      <c r="AH498" s="422"/>
      <c r="AI498" s="422"/>
      <c r="AJ498" s="422"/>
      <c r="AK498" s="422"/>
      <c r="AL498" s="422"/>
      <c r="AM498" s="306"/>
    </row>
    <row r="499" spans="1:39" ht="31" outlineLevel="1">
      <c r="A499" s="526">
        <v>30</v>
      </c>
      <c r="B499" s="425"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776"/>
      <c r="Z499" s="759"/>
      <c r="AA499" s="759"/>
      <c r="AB499" s="759"/>
      <c r="AC499" s="759"/>
      <c r="AD499" s="759"/>
      <c r="AE499" s="759"/>
      <c r="AF499" s="414"/>
      <c r="AG499" s="414"/>
      <c r="AH499" s="414"/>
      <c r="AI499" s="414"/>
      <c r="AJ499" s="414"/>
      <c r="AK499" s="414"/>
      <c r="AL499" s="414"/>
      <c r="AM499" s="296">
        <f>SUM(Y499:AL499)</f>
        <v>0</v>
      </c>
    </row>
    <row r="500" spans="1:39" ht="15.5" outlineLevel="1">
      <c r="A500" s="526"/>
      <c r="B500" s="428"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760">
        <f>Y499</f>
        <v>0</v>
      </c>
      <c r="Z500" s="760">
        <f t="shared" si="879" ref="Z500:AE500">Z499</f>
        <v>0</v>
      </c>
      <c r="AA500" s="760">
        <f t="shared" si="879"/>
        <v>0</v>
      </c>
      <c r="AB500" s="760">
        <f t="shared" si="879"/>
        <v>0</v>
      </c>
      <c r="AC500" s="760">
        <f t="shared" si="879"/>
        <v>0</v>
      </c>
      <c r="AD500" s="760">
        <f t="shared" si="879"/>
        <v>0</v>
      </c>
      <c r="AE500" s="760">
        <f t="shared" si="879"/>
        <v>0</v>
      </c>
      <c r="AF500" s="410">
        <f t="shared" si="880" ref="AF500">AF499</f>
        <v>0</v>
      </c>
      <c r="AG500" s="410">
        <f t="shared" si="881" ref="AG500">AG499</f>
        <v>0</v>
      </c>
      <c r="AH500" s="410">
        <f t="shared" si="882" ref="AH500">AH499</f>
        <v>0</v>
      </c>
      <c r="AI500" s="410">
        <f t="shared" si="883" ref="AI500">AI499</f>
        <v>0</v>
      </c>
      <c r="AJ500" s="410">
        <f t="shared" si="884" ref="AJ500">AJ499</f>
        <v>0</v>
      </c>
      <c r="AK500" s="410">
        <f t="shared" si="885" ref="AK500">AK499</f>
        <v>0</v>
      </c>
      <c r="AL500" s="410">
        <f t="shared" si="886" ref="AL500">AL499</f>
        <v>0</v>
      </c>
      <c r="AM500" s="306"/>
    </row>
    <row r="501" spans="1:39" ht="15.5" outlineLevel="1">
      <c r="A501" s="526"/>
      <c r="B501" s="428"/>
      <c r="C501" s="291"/>
      <c r="D501" s="750"/>
      <c r="E501" s="750"/>
      <c r="F501" s="750"/>
      <c r="G501" s="750"/>
      <c r="H501" s="750"/>
      <c r="I501" s="750"/>
      <c r="J501" s="750"/>
      <c r="K501" s="750"/>
      <c r="L501" s="750"/>
      <c r="M501" s="750"/>
      <c r="N501" s="750"/>
      <c r="O501" s="750"/>
      <c r="P501" s="750"/>
      <c r="Q501" s="750"/>
      <c r="R501" s="750"/>
      <c r="S501" s="750"/>
      <c r="T501" s="750"/>
      <c r="U501" s="750"/>
      <c r="V501" s="750"/>
      <c r="W501" s="750"/>
      <c r="X501" s="750"/>
      <c r="Y501" s="761"/>
      <c r="Z501" s="780"/>
      <c r="AA501" s="780"/>
      <c r="AB501" s="780"/>
      <c r="AC501" s="780"/>
      <c r="AD501" s="780"/>
      <c r="AE501" s="780"/>
      <c r="AF501" s="422"/>
      <c r="AG501" s="422"/>
      <c r="AH501" s="422"/>
      <c r="AI501" s="422"/>
      <c r="AJ501" s="422"/>
      <c r="AK501" s="422"/>
      <c r="AL501" s="422"/>
      <c r="AM501" s="306"/>
    </row>
    <row r="502" spans="1:39" ht="31" outlineLevel="1">
      <c r="A502" s="526">
        <v>31</v>
      </c>
      <c r="B502" s="425"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776"/>
      <c r="Z502" s="759"/>
      <c r="AA502" s="759"/>
      <c r="AB502" s="759"/>
      <c r="AC502" s="759"/>
      <c r="AD502" s="759"/>
      <c r="AE502" s="759"/>
      <c r="AF502" s="414"/>
      <c r="AG502" s="414"/>
      <c r="AH502" s="414"/>
      <c r="AI502" s="414"/>
      <c r="AJ502" s="414"/>
      <c r="AK502" s="414"/>
      <c r="AL502" s="414"/>
      <c r="AM502" s="296">
        <f>SUM(Y502:AL502)</f>
        <v>0</v>
      </c>
    </row>
    <row r="503" spans="1:39" ht="15.5" outlineLevel="1">
      <c r="A503" s="526"/>
      <c r="B503" s="428"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760">
        <f>Y502</f>
        <v>0</v>
      </c>
      <c r="Z503" s="760">
        <f t="shared" si="887" ref="Z503:AE503">Z502</f>
        <v>0</v>
      </c>
      <c r="AA503" s="760">
        <f t="shared" si="887"/>
        <v>0</v>
      </c>
      <c r="AB503" s="760">
        <f t="shared" si="887"/>
        <v>0</v>
      </c>
      <c r="AC503" s="760">
        <f t="shared" si="887"/>
        <v>0</v>
      </c>
      <c r="AD503" s="760">
        <f t="shared" si="887"/>
        <v>0</v>
      </c>
      <c r="AE503" s="760">
        <f t="shared" si="887"/>
        <v>0</v>
      </c>
      <c r="AF503" s="410">
        <f t="shared" si="888" ref="AF503">AF502</f>
        <v>0</v>
      </c>
      <c r="AG503" s="410">
        <f t="shared" si="889" ref="AG503">AG502</f>
        <v>0</v>
      </c>
      <c r="AH503" s="410">
        <f t="shared" si="890" ref="AH503">AH502</f>
        <v>0</v>
      </c>
      <c r="AI503" s="410">
        <f t="shared" si="891" ref="AI503">AI502</f>
        <v>0</v>
      </c>
      <c r="AJ503" s="410">
        <f t="shared" si="892" ref="AJ503">AJ502</f>
        <v>0</v>
      </c>
      <c r="AK503" s="410">
        <f t="shared" si="893" ref="AK503">AK502</f>
        <v>0</v>
      </c>
      <c r="AL503" s="410">
        <f t="shared" si="894" ref="AL503">AL502</f>
        <v>0</v>
      </c>
      <c r="AM503" s="306"/>
    </row>
    <row r="504" spans="1:39" ht="15.5" outlineLevel="1">
      <c r="A504" s="526"/>
      <c r="B504" s="425"/>
      <c r="C504" s="291"/>
      <c r="D504" s="750"/>
      <c r="E504" s="750"/>
      <c r="F504" s="750"/>
      <c r="G504" s="750"/>
      <c r="H504" s="750"/>
      <c r="I504" s="750"/>
      <c r="J504" s="750"/>
      <c r="K504" s="750"/>
      <c r="L504" s="750"/>
      <c r="M504" s="750"/>
      <c r="N504" s="750"/>
      <c r="O504" s="750"/>
      <c r="P504" s="750"/>
      <c r="Q504" s="750"/>
      <c r="R504" s="750"/>
      <c r="S504" s="750"/>
      <c r="T504" s="750"/>
      <c r="U504" s="750"/>
      <c r="V504" s="750"/>
      <c r="W504" s="750"/>
      <c r="X504" s="750"/>
      <c r="Y504" s="761"/>
      <c r="Z504" s="780"/>
      <c r="AA504" s="780"/>
      <c r="AB504" s="780"/>
      <c r="AC504" s="780"/>
      <c r="AD504" s="780"/>
      <c r="AE504" s="780"/>
      <c r="AF504" s="422"/>
      <c r="AG504" s="422"/>
      <c r="AH504" s="422"/>
      <c r="AI504" s="422"/>
      <c r="AJ504" s="422"/>
      <c r="AK504" s="422"/>
      <c r="AL504" s="422"/>
      <c r="AM504" s="306"/>
    </row>
    <row r="505" spans="1:39" ht="15.5" outlineLevel="1">
      <c r="A505" s="526">
        <v>32</v>
      </c>
      <c r="B505" s="425"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776"/>
      <c r="Z505" s="759"/>
      <c r="AA505" s="759"/>
      <c r="AB505" s="759"/>
      <c r="AC505" s="759"/>
      <c r="AD505" s="759"/>
      <c r="AE505" s="759"/>
      <c r="AF505" s="414"/>
      <c r="AG505" s="414"/>
      <c r="AH505" s="414"/>
      <c r="AI505" s="414"/>
      <c r="AJ505" s="414"/>
      <c r="AK505" s="414"/>
      <c r="AL505" s="414"/>
      <c r="AM505" s="296">
        <f>SUM(Y505:AL505)</f>
        <v>0</v>
      </c>
    </row>
    <row r="506" spans="1:39" ht="15.5" outlineLevel="1">
      <c r="A506" s="526"/>
      <c r="B506" s="428"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760">
        <f>Y505</f>
        <v>0</v>
      </c>
      <c r="Z506" s="760">
        <f t="shared" si="895" ref="Z506:AE506">Z505</f>
        <v>0</v>
      </c>
      <c r="AA506" s="760">
        <f t="shared" si="895"/>
        <v>0</v>
      </c>
      <c r="AB506" s="760">
        <f t="shared" si="895"/>
        <v>0</v>
      </c>
      <c r="AC506" s="760">
        <f t="shared" si="895"/>
        <v>0</v>
      </c>
      <c r="AD506" s="760">
        <f t="shared" si="895"/>
        <v>0</v>
      </c>
      <c r="AE506" s="760">
        <f t="shared" si="895"/>
        <v>0</v>
      </c>
      <c r="AF506" s="410">
        <f t="shared" si="896" ref="AF506">AF505</f>
        <v>0</v>
      </c>
      <c r="AG506" s="410">
        <f t="shared" si="897" ref="AG506">AG505</f>
        <v>0</v>
      </c>
      <c r="AH506" s="410">
        <f t="shared" si="898" ref="AH506">AH505</f>
        <v>0</v>
      </c>
      <c r="AI506" s="410">
        <f t="shared" si="899" ref="AI506">AI505</f>
        <v>0</v>
      </c>
      <c r="AJ506" s="410">
        <f t="shared" si="900" ref="AJ506">AJ505</f>
        <v>0</v>
      </c>
      <c r="AK506" s="410">
        <f t="shared" si="901" ref="AK506">AK505</f>
        <v>0</v>
      </c>
      <c r="AL506" s="410">
        <f t="shared" si="902" ref="AL506">AL505</f>
        <v>0</v>
      </c>
      <c r="AM506" s="306"/>
    </row>
    <row r="507" spans="1:39" ht="15.5" outlineLevel="1">
      <c r="A507" s="526"/>
      <c r="B507" s="425"/>
      <c r="C507" s="291"/>
      <c r="D507" s="750"/>
      <c r="E507" s="750"/>
      <c r="F507" s="750"/>
      <c r="G507" s="750"/>
      <c r="H507" s="750"/>
      <c r="I507" s="750"/>
      <c r="J507" s="750"/>
      <c r="K507" s="750"/>
      <c r="L507" s="750"/>
      <c r="M507" s="750"/>
      <c r="N507" s="750"/>
      <c r="O507" s="750"/>
      <c r="P507" s="750"/>
      <c r="Q507" s="750"/>
      <c r="R507" s="750"/>
      <c r="S507" s="750"/>
      <c r="T507" s="750"/>
      <c r="U507" s="750"/>
      <c r="V507" s="750"/>
      <c r="W507" s="750"/>
      <c r="X507" s="750"/>
      <c r="Y507" s="761"/>
      <c r="Z507" s="780"/>
      <c r="AA507" s="780"/>
      <c r="AB507" s="780"/>
      <c r="AC507" s="780"/>
      <c r="AD507" s="780"/>
      <c r="AE507" s="780"/>
      <c r="AF507" s="422"/>
      <c r="AG507" s="422"/>
      <c r="AH507" s="422"/>
      <c r="AI507" s="422"/>
      <c r="AJ507" s="422"/>
      <c r="AK507" s="422"/>
      <c r="AL507" s="422"/>
      <c r="AM507" s="306"/>
    </row>
    <row r="508" spans="1:39" ht="15.5" outlineLevel="1">
      <c r="A508" s="526"/>
      <c r="B508" s="498" t="s">
        <v>500</v>
      </c>
      <c r="C508" s="291"/>
      <c r="D508" s="750"/>
      <c r="E508" s="750"/>
      <c r="F508" s="750"/>
      <c r="G508" s="750"/>
      <c r="H508" s="750"/>
      <c r="I508" s="750"/>
      <c r="J508" s="750"/>
      <c r="K508" s="750"/>
      <c r="L508" s="750"/>
      <c r="M508" s="750"/>
      <c r="N508" s="750"/>
      <c r="O508" s="750"/>
      <c r="P508" s="750"/>
      <c r="Q508" s="750"/>
      <c r="R508" s="750"/>
      <c r="S508" s="750"/>
      <c r="T508" s="750"/>
      <c r="U508" s="750"/>
      <c r="V508" s="750"/>
      <c r="W508" s="750"/>
      <c r="X508" s="750"/>
      <c r="Y508" s="761"/>
      <c r="Z508" s="780"/>
      <c r="AA508" s="780"/>
      <c r="AB508" s="780"/>
      <c r="AC508" s="780"/>
      <c r="AD508" s="780"/>
      <c r="AE508" s="780"/>
      <c r="AF508" s="422"/>
      <c r="AG508" s="422"/>
      <c r="AH508" s="422"/>
      <c r="AI508" s="422"/>
      <c r="AJ508" s="422"/>
      <c r="AK508" s="422"/>
      <c r="AL508" s="422"/>
      <c r="AM508" s="306"/>
    </row>
    <row r="509" spans="1:39" ht="15.5" outlineLevel="1">
      <c r="A509" s="526">
        <v>33</v>
      </c>
      <c r="B509" s="425"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776"/>
      <c r="Z509" s="759"/>
      <c r="AA509" s="759"/>
      <c r="AB509" s="759"/>
      <c r="AC509" s="759"/>
      <c r="AD509" s="759"/>
      <c r="AE509" s="759"/>
      <c r="AF509" s="414"/>
      <c r="AG509" s="414"/>
      <c r="AH509" s="414"/>
      <c r="AI509" s="414"/>
      <c r="AJ509" s="414"/>
      <c r="AK509" s="414"/>
      <c r="AL509" s="414"/>
      <c r="AM509" s="296">
        <f>SUM(Y509:AL509)</f>
        <v>0</v>
      </c>
    </row>
    <row r="510" spans="1:39" ht="15.5" outlineLevel="1">
      <c r="A510" s="526"/>
      <c r="B510" s="428"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760">
        <f>Y509</f>
        <v>0</v>
      </c>
      <c r="Z510" s="760">
        <f t="shared" si="903" ref="Z510:AE510">Z509</f>
        <v>0</v>
      </c>
      <c r="AA510" s="760">
        <f t="shared" si="903"/>
        <v>0</v>
      </c>
      <c r="AB510" s="760">
        <f t="shared" si="903"/>
        <v>0</v>
      </c>
      <c r="AC510" s="760">
        <f t="shared" si="903"/>
        <v>0</v>
      </c>
      <c r="AD510" s="760">
        <f t="shared" si="903"/>
        <v>0</v>
      </c>
      <c r="AE510" s="760">
        <f t="shared" si="903"/>
        <v>0</v>
      </c>
      <c r="AF510" s="410">
        <f t="shared" si="904" ref="AF510">AF509</f>
        <v>0</v>
      </c>
      <c r="AG510" s="410">
        <f t="shared" si="905" ref="AG510">AG509</f>
        <v>0</v>
      </c>
      <c r="AH510" s="410">
        <f t="shared" si="906" ref="AH510">AH509</f>
        <v>0</v>
      </c>
      <c r="AI510" s="410">
        <f t="shared" si="907" ref="AI510">AI509</f>
        <v>0</v>
      </c>
      <c r="AJ510" s="410">
        <f t="shared" si="908" ref="AJ510">AJ509</f>
        <v>0</v>
      </c>
      <c r="AK510" s="410">
        <f t="shared" si="909" ref="AK510">AK509</f>
        <v>0</v>
      </c>
      <c r="AL510" s="410">
        <f t="shared" si="910" ref="AL510">AL509</f>
        <v>0</v>
      </c>
      <c r="AM510" s="306"/>
    </row>
    <row r="511" spans="1:39" ht="15.5" outlineLevel="1">
      <c r="A511" s="526"/>
      <c r="B511" s="425"/>
      <c r="C511" s="291"/>
      <c r="D511" s="750"/>
      <c r="E511" s="750"/>
      <c r="F511" s="750"/>
      <c r="G511" s="750"/>
      <c r="H511" s="750"/>
      <c r="I511" s="750"/>
      <c r="J511" s="750"/>
      <c r="K511" s="750"/>
      <c r="L511" s="750"/>
      <c r="M511" s="750"/>
      <c r="N511" s="750"/>
      <c r="O511" s="750"/>
      <c r="P511" s="750"/>
      <c r="Q511" s="750"/>
      <c r="R511" s="750"/>
      <c r="S511" s="750"/>
      <c r="T511" s="750"/>
      <c r="U511" s="750"/>
      <c r="V511" s="750"/>
      <c r="W511" s="750"/>
      <c r="X511" s="750"/>
      <c r="Y511" s="761"/>
      <c r="Z511" s="780"/>
      <c r="AA511" s="780"/>
      <c r="AB511" s="780"/>
      <c r="AC511" s="780"/>
      <c r="AD511" s="780"/>
      <c r="AE511" s="780"/>
      <c r="AF511" s="422"/>
      <c r="AG511" s="422"/>
      <c r="AH511" s="422"/>
      <c r="AI511" s="422"/>
      <c r="AJ511" s="422"/>
      <c r="AK511" s="422"/>
      <c r="AL511" s="422"/>
      <c r="AM511" s="306"/>
    </row>
    <row r="512" spans="1:39" ht="15.5" outlineLevel="1">
      <c r="A512" s="526">
        <v>34</v>
      </c>
      <c r="B512" s="425"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776"/>
      <c r="Z512" s="759"/>
      <c r="AA512" s="759"/>
      <c r="AB512" s="759"/>
      <c r="AC512" s="759"/>
      <c r="AD512" s="759"/>
      <c r="AE512" s="759"/>
      <c r="AF512" s="414"/>
      <c r="AG512" s="414"/>
      <c r="AH512" s="414"/>
      <c r="AI512" s="414"/>
      <c r="AJ512" s="414"/>
      <c r="AK512" s="414"/>
      <c r="AL512" s="414"/>
      <c r="AM512" s="296">
        <f>SUM(Y512:AL512)</f>
        <v>0</v>
      </c>
    </row>
    <row r="513" spans="1:39" ht="15.5" outlineLevel="1">
      <c r="A513" s="526"/>
      <c r="B513" s="428"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760">
        <f>Y512</f>
        <v>0</v>
      </c>
      <c r="Z513" s="760">
        <f t="shared" si="911" ref="Z513:AE513">Z512</f>
        <v>0</v>
      </c>
      <c r="AA513" s="760">
        <f t="shared" si="911"/>
        <v>0</v>
      </c>
      <c r="AB513" s="760">
        <f t="shared" si="911"/>
        <v>0</v>
      </c>
      <c r="AC513" s="760">
        <f t="shared" si="911"/>
        <v>0</v>
      </c>
      <c r="AD513" s="760">
        <f t="shared" si="911"/>
        <v>0</v>
      </c>
      <c r="AE513" s="760">
        <f t="shared" si="911"/>
        <v>0</v>
      </c>
      <c r="AF513" s="410">
        <f t="shared" si="912" ref="AF513">AF512</f>
        <v>0</v>
      </c>
      <c r="AG513" s="410">
        <f t="shared" si="913" ref="AG513">AG512</f>
        <v>0</v>
      </c>
      <c r="AH513" s="410">
        <f t="shared" si="914" ref="AH513">AH512</f>
        <v>0</v>
      </c>
      <c r="AI513" s="410">
        <f t="shared" si="915" ref="AI513">AI512</f>
        <v>0</v>
      </c>
      <c r="AJ513" s="410">
        <f t="shared" si="916" ref="AJ513">AJ512</f>
        <v>0</v>
      </c>
      <c r="AK513" s="410">
        <f t="shared" si="917" ref="AK513">AK512</f>
        <v>0</v>
      </c>
      <c r="AL513" s="410">
        <f t="shared" si="918" ref="AL513">AL512</f>
        <v>0</v>
      </c>
      <c r="AM513" s="306"/>
    </row>
    <row r="514" spans="1:39" ht="15.5" outlineLevel="1">
      <c r="A514" s="526"/>
      <c r="B514" s="425"/>
      <c r="C514" s="291"/>
      <c r="D514" s="750"/>
      <c r="E514" s="750"/>
      <c r="F514" s="750"/>
      <c r="G514" s="750"/>
      <c r="H514" s="750"/>
      <c r="I514" s="750"/>
      <c r="J514" s="750"/>
      <c r="K514" s="750"/>
      <c r="L514" s="750"/>
      <c r="M514" s="750"/>
      <c r="N514" s="750"/>
      <c r="O514" s="750"/>
      <c r="P514" s="750"/>
      <c r="Q514" s="750"/>
      <c r="R514" s="750"/>
      <c r="S514" s="750"/>
      <c r="T514" s="750"/>
      <c r="U514" s="750"/>
      <c r="V514" s="750"/>
      <c r="W514" s="750"/>
      <c r="X514" s="750"/>
      <c r="Y514" s="761"/>
      <c r="Z514" s="780"/>
      <c r="AA514" s="780"/>
      <c r="AB514" s="780"/>
      <c r="AC514" s="780"/>
      <c r="AD514" s="780"/>
      <c r="AE514" s="780"/>
      <c r="AF514" s="422"/>
      <c r="AG514" s="422"/>
      <c r="AH514" s="422"/>
      <c r="AI514" s="422"/>
      <c r="AJ514" s="422"/>
      <c r="AK514" s="422"/>
      <c r="AL514" s="422"/>
      <c r="AM514" s="306"/>
    </row>
    <row r="515" spans="1:39" ht="15.5" outlineLevel="1">
      <c r="A515" s="526">
        <v>35</v>
      </c>
      <c r="B515" s="425" t="s">
        <v>127</v>
      </c>
      <c r="C515" s="291" t="s">
        <v>25</v>
      </c>
      <c r="D515" s="295">
        <f>'7.  Persistence Report'!AW127</f>
        <v>170819</v>
      </c>
      <c r="E515" s="295">
        <f>'7.  Persistence Report'!AX127</f>
        <v>170819</v>
      </c>
      <c r="F515" s="295">
        <f>'7.  Persistence Report'!AY127</f>
        <v>170819</v>
      </c>
      <c r="G515" s="295">
        <f>'7.  Persistence Report'!AZ127</f>
        <v>170819</v>
      </c>
      <c r="H515" s="295">
        <f>'7.  Persistence Report'!BA127</f>
        <v>170819</v>
      </c>
      <c r="I515" s="295">
        <f>'7.  Persistence Report'!BB127</f>
        <v>170819</v>
      </c>
      <c r="J515" s="295">
        <f>'7.  Persistence Report'!BC127</f>
        <v>170819</v>
      </c>
      <c r="K515" s="295">
        <f>'7.  Persistence Report'!BD127</f>
        <v>170819</v>
      </c>
      <c r="L515" s="295">
        <f>'7.  Persistence Report'!BE127</f>
        <v>170819</v>
      </c>
      <c r="M515" s="295">
        <f>'7.  Persistence Report'!BF127</f>
        <v>170819</v>
      </c>
      <c r="N515" s="295">
        <v>0</v>
      </c>
      <c r="O515" s="295">
        <f>'7.  Persistence Report'!R127</f>
        <v>33</v>
      </c>
      <c r="P515" s="295">
        <f>'7.  Persistence Report'!S127</f>
        <v>33</v>
      </c>
      <c r="Q515" s="295">
        <f>'7.  Persistence Report'!T127</f>
        <v>33</v>
      </c>
      <c r="R515" s="295">
        <f>'7.  Persistence Report'!U127</f>
        <v>33</v>
      </c>
      <c r="S515" s="295">
        <f>'7.  Persistence Report'!V127</f>
        <v>33</v>
      </c>
      <c r="T515" s="295">
        <f>'7.  Persistence Report'!W127</f>
        <v>33</v>
      </c>
      <c r="U515" s="295">
        <f>'7.  Persistence Report'!X127</f>
        <v>33</v>
      </c>
      <c r="V515" s="295">
        <f>'7.  Persistence Report'!Y127</f>
        <v>33</v>
      </c>
      <c r="W515" s="295">
        <f>'7.  Persistence Report'!Z127</f>
        <v>33</v>
      </c>
      <c r="X515" s="295">
        <f>'7.  Persistence Report'!AA127</f>
        <v>33</v>
      </c>
      <c r="Y515" s="776">
        <v>1</v>
      </c>
      <c r="Z515" s="759"/>
      <c r="AA515" s="759"/>
      <c r="AB515" s="759"/>
      <c r="AC515" s="759"/>
      <c r="AD515" s="759"/>
      <c r="AE515" s="759"/>
      <c r="AF515" s="414"/>
      <c r="AG515" s="414"/>
      <c r="AH515" s="414"/>
      <c r="AI515" s="414"/>
      <c r="AJ515" s="414"/>
      <c r="AK515" s="414"/>
      <c r="AL515" s="414"/>
      <c r="AM515" s="296">
        <f>SUM(Y515:AL515)</f>
        <v>1</v>
      </c>
    </row>
    <row r="516" spans="1:39" ht="15.5" outlineLevel="1">
      <c r="A516" s="526"/>
      <c r="B516" s="428"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760">
        <f>Y515</f>
        <v>1</v>
      </c>
      <c r="Z516" s="760">
        <f t="shared" si="919" ref="Z516:AE516">Z515</f>
        <v>0</v>
      </c>
      <c r="AA516" s="760">
        <f t="shared" si="919"/>
        <v>0</v>
      </c>
      <c r="AB516" s="760">
        <f t="shared" si="919"/>
        <v>0</v>
      </c>
      <c r="AC516" s="760">
        <f t="shared" si="919"/>
        <v>0</v>
      </c>
      <c r="AD516" s="760">
        <f t="shared" si="919"/>
        <v>0</v>
      </c>
      <c r="AE516" s="760">
        <f t="shared" si="919"/>
        <v>0</v>
      </c>
      <c r="AF516" s="410">
        <f t="shared" si="920" ref="AF516">AF515</f>
        <v>0</v>
      </c>
      <c r="AG516" s="410">
        <f t="shared" si="921" ref="AG516">AG515</f>
        <v>0</v>
      </c>
      <c r="AH516" s="410">
        <f t="shared" si="922" ref="AH516">AH515</f>
        <v>0</v>
      </c>
      <c r="AI516" s="410">
        <f t="shared" si="923" ref="AI516">AI515</f>
        <v>0</v>
      </c>
      <c r="AJ516" s="410">
        <f t="shared" si="924" ref="AJ516">AJ515</f>
        <v>0</v>
      </c>
      <c r="AK516" s="410">
        <f t="shared" si="925" ref="AK516">AK515</f>
        <v>0</v>
      </c>
      <c r="AL516" s="410">
        <f t="shared" si="926" ref="AL516">AL515</f>
        <v>0</v>
      </c>
      <c r="AM516" s="306"/>
    </row>
    <row r="517" spans="1:39" ht="15.5" outlineLevel="1">
      <c r="A517" s="526"/>
      <c r="B517" s="428"/>
      <c r="C517" s="291"/>
      <c r="D517" s="750"/>
      <c r="E517" s="750"/>
      <c r="F517" s="750"/>
      <c r="G517" s="750"/>
      <c r="H517" s="750"/>
      <c r="I517" s="750"/>
      <c r="J517" s="750"/>
      <c r="K517" s="750"/>
      <c r="L517" s="750"/>
      <c r="M517" s="750"/>
      <c r="N517" s="750"/>
      <c r="O517" s="750"/>
      <c r="P517" s="750"/>
      <c r="Q517" s="750"/>
      <c r="R517" s="750"/>
      <c r="S517" s="750"/>
      <c r="T517" s="750"/>
      <c r="U517" s="750"/>
      <c r="V517" s="750"/>
      <c r="W517" s="750"/>
      <c r="X517" s="750"/>
      <c r="Y517" s="761"/>
      <c r="Z517" s="780"/>
      <c r="AA517" s="780"/>
      <c r="AB517" s="780"/>
      <c r="AC517" s="780"/>
      <c r="AD517" s="780"/>
      <c r="AE517" s="780"/>
      <c r="AF517" s="422"/>
      <c r="AG517" s="422"/>
      <c r="AH517" s="422"/>
      <c r="AI517" s="422"/>
      <c r="AJ517" s="422"/>
      <c r="AK517" s="422"/>
      <c r="AL517" s="422"/>
      <c r="AM517" s="306"/>
    </row>
    <row r="518" spans="1:39" ht="15.5" outlineLevel="1">
      <c r="A518" s="526"/>
      <c r="B518" s="498" t="s">
        <v>501</v>
      </c>
      <c r="C518" s="291"/>
      <c r="D518" s="750"/>
      <c r="E518" s="750"/>
      <c r="F518" s="750"/>
      <c r="G518" s="750"/>
      <c r="H518" s="750"/>
      <c r="I518" s="750"/>
      <c r="J518" s="750"/>
      <c r="K518" s="750"/>
      <c r="L518" s="750"/>
      <c r="M518" s="750"/>
      <c r="N518" s="750"/>
      <c r="O518" s="750"/>
      <c r="P518" s="750"/>
      <c r="Q518" s="750"/>
      <c r="R518" s="750"/>
      <c r="S518" s="750"/>
      <c r="T518" s="750"/>
      <c r="U518" s="750"/>
      <c r="V518" s="750"/>
      <c r="W518" s="750"/>
      <c r="X518" s="750"/>
      <c r="Y518" s="761"/>
      <c r="Z518" s="780"/>
      <c r="AA518" s="780"/>
      <c r="AB518" s="780"/>
      <c r="AC518" s="780"/>
      <c r="AD518" s="780"/>
      <c r="AE518" s="780"/>
      <c r="AF518" s="422"/>
      <c r="AG518" s="422"/>
      <c r="AH518" s="422"/>
      <c r="AI518" s="422"/>
      <c r="AJ518" s="422"/>
      <c r="AK518" s="422"/>
      <c r="AL518" s="422"/>
      <c r="AM518" s="306"/>
    </row>
    <row r="519" spans="1:39" ht="15.5" outlineLevel="1">
      <c r="A519" s="526">
        <v>36</v>
      </c>
      <c r="B519" s="425" t="str">
        <f>'7.  Persistence Report'!D128</f>
        <v>Whole Home Pilot Program</v>
      </c>
      <c r="C519" s="291" t="s">
        <v>25</v>
      </c>
      <c r="D519" s="295">
        <f>'7.  Persistence Report'!AW128</f>
        <v>50819</v>
      </c>
      <c r="E519" s="295">
        <f>'7.  Persistence Report'!AX128</f>
        <v>50819</v>
      </c>
      <c r="F519" s="295">
        <f>'7.  Persistence Report'!AY128</f>
        <v>50819</v>
      </c>
      <c r="G519" s="295">
        <f>'7.  Persistence Report'!AZ128</f>
        <v>50819</v>
      </c>
      <c r="H519" s="295">
        <f>'7.  Persistence Report'!BA128</f>
        <v>50535</v>
      </c>
      <c r="I519" s="295">
        <f>'7.  Persistence Report'!BB128</f>
        <v>50200</v>
      </c>
      <c r="J519" s="295">
        <f>'7.  Persistence Report'!BC128</f>
        <v>50200</v>
      </c>
      <c r="K519" s="295">
        <f>'7.  Persistence Report'!BD128</f>
        <v>50200</v>
      </c>
      <c r="L519" s="295">
        <f>'7.  Persistence Report'!BE128</f>
        <v>50200</v>
      </c>
      <c r="M519" s="295">
        <f>'7.  Persistence Report'!BF128</f>
        <v>50200</v>
      </c>
      <c r="N519" s="295">
        <v>12</v>
      </c>
      <c r="O519" s="295">
        <f>'7.  Persistence Report'!R128</f>
        <v>10</v>
      </c>
      <c r="P519" s="295">
        <f>'7.  Persistence Report'!S128</f>
        <v>10</v>
      </c>
      <c r="Q519" s="295">
        <f>'7.  Persistence Report'!T128</f>
        <v>10</v>
      </c>
      <c r="R519" s="295">
        <f>'7.  Persistence Report'!U128</f>
        <v>10</v>
      </c>
      <c r="S519" s="295">
        <f>'7.  Persistence Report'!V128</f>
        <v>10</v>
      </c>
      <c r="T519" s="295">
        <f>'7.  Persistence Report'!W128</f>
        <v>10</v>
      </c>
      <c r="U519" s="295">
        <f>'7.  Persistence Report'!X128</f>
        <v>10</v>
      </c>
      <c r="V519" s="295">
        <f>'7.  Persistence Report'!Y128</f>
        <v>10</v>
      </c>
      <c r="W519" s="295">
        <f>'7.  Persistence Report'!Z128</f>
        <v>10</v>
      </c>
      <c r="X519" s="295">
        <f>'7.  Persistence Report'!AA128</f>
        <v>10</v>
      </c>
      <c r="Y519" s="776">
        <v>1</v>
      </c>
      <c r="Z519" s="759"/>
      <c r="AA519" s="759"/>
      <c r="AB519" s="759"/>
      <c r="AC519" s="759"/>
      <c r="AD519" s="759"/>
      <c r="AE519" s="759"/>
      <c r="AF519" s="414"/>
      <c r="AG519" s="414"/>
      <c r="AH519" s="414"/>
      <c r="AI519" s="414"/>
      <c r="AJ519" s="414"/>
      <c r="AK519" s="414"/>
      <c r="AL519" s="414"/>
      <c r="AM519" s="296">
        <f>SUM(Y519:AL519)</f>
        <v>1</v>
      </c>
    </row>
    <row r="520" spans="1:39" ht="15.5" outlineLevel="1">
      <c r="A520" s="526"/>
      <c r="B520" s="428"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760">
        <f>Y519</f>
        <v>1</v>
      </c>
      <c r="Z520" s="760">
        <f t="shared" si="927" ref="Z520:AE520">Z519</f>
        <v>0</v>
      </c>
      <c r="AA520" s="760">
        <f t="shared" si="927"/>
        <v>0</v>
      </c>
      <c r="AB520" s="760">
        <f t="shared" si="927"/>
        <v>0</v>
      </c>
      <c r="AC520" s="760">
        <f t="shared" si="927"/>
        <v>0</v>
      </c>
      <c r="AD520" s="760">
        <f t="shared" si="927"/>
        <v>0</v>
      </c>
      <c r="AE520" s="760">
        <f t="shared" si="927"/>
        <v>0</v>
      </c>
      <c r="AF520" s="410">
        <f t="shared" si="928" ref="AF520">AF519</f>
        <v>0</v>
      </c>
      <c r="AG520" s="410">
        <f t="shared" si="929" ref="AG520">AG519</f>
        <v>0</v>
      </c>
      <c r="AH520" s="410">
        <f t="shared" si="930" ref="AH520">AH519</f>
        <v>0</v>
      </c>
      <c r="AI520" s="410">
        <f t="shared" si="931" ref="AI520">AI519</f>
        <v>0</v>
      </c>
      <c r="AJ520" s="410">
        <f t="shared" si="932" ref="AJ520">AJ519</f>
        <v>0</v>
      </c>
      <c r="AK520" s="410">
        <f t="shared" si="933" ref="AK520">AK519</f>
        <v>0</v>
      </c>
      <c r="AL520" s="410">
        <f t="shared" si="934" ref="AL520">AL519</f>
        <v>0</v>
      </c>
      <c r="AM520" s="306"/>
    </row>
    <row r="521" spans="1:39" ht="15.5" outlineLevel="1">
      <c r="A521" s="526"/>
      <c r="B521" s="425"/>
      <c r="C521" s="291"/>
      <c r="D521" s="750"/>
      <c r="E521" s="750"/>
      <c r="F521" s="750"/>
      <c r="G521" s="750"/>
      <c r="H521" s="750"/>
      <c r="I521" s="750"/>
      <c r="J521" s="750"/>
      <c r="K521" s="750"/>
      <c r="L521" s="750"/>
      <c r="M521" s="750"/>
      <c r="N521" s="750"/>
      <c r="O521" s="750"/>
      <c r="P521" s="750"/>
      <c r="Q521" s="750"/>
      <c r="R521" s="750"/>
      <c r="S521" s="750"/>
      <c r="T521" s="750"/>
      <c r="U521" s="750"/>
      <c r="V521" s="750"/>
      <c r="W521" s="750"/>
      <c r="X521" s="750"/>
      <c r="Y521" s="761"/>
      <c r="Z521" s="780"/>
      <c r="AA521" s="780"/>
      <c r="AB521" s="780"/>
      <c r="AC521" s="780"/>
      <c r="AD521" s="780"/>
      <c r="AE521" s="780"/>
      <c r="AF521" s="422"/>
      <c r="AG521" s="422"/>
      <c r="AH521" s="422"/>
      <c r="AI521" s="422"/>
      <c r="AJ521" s="422"/>
      <c r="AK521" s="422"/>
      <c r="AL521" s="422"/>
      <c r="AM521" s="306"/>
    </row>
    <row r="522" spans="1:39" ht="31" outlineLevel="1">
      <c r="A522" s="526">
        <v>37</v>
      </c>
      <c r="B522" s="838" t="str">
        <f>'7.  Persistence Report'!D145</f>
        <v>Save on Energy Smart Thermostat Program</v>
      </c>
      <c r="C522" s="291" t="s">
        <v>25</v>
      </c>
      <c r="D522" s="295">
        <f>'7.  Persistence Report'!AW145</f>
        <v>11312.900000000005</v>
      </c>
      <c r="E522" s="295">
        <f>'7.  Persistence Report'!AX145</f>
        <v>11312.900000000005</v>
      </c>
      <c r="F522" s="295">
        <f>'7.  Persistence Report'!AY145</f>
        <v>11312.900000000005</v>
      </c>
      <c r="G522" s="295"/>
      <c r="H522" s="295"/>
      <c r="I522" s="295"/>
      <c r="J522" s="295"/>
      <c r="K522" s="295"/>
      <c r="L522" s="295"/>
      <c r="M522" s="295"/>
      <c r="N522" s="295">
        <v>12</v>
      </c>
      <c r="O522" s="295">
        <f>'7.  Persistence Report'!R145</f>
        <v>5.6988350859517691</v>
      </c>
      <c r="P522" s="295">
        <f>'7.  Persistence Report'!S145</f>
        <v>5.6988350859517691</v>
      </c>
      <c r="Q522" s="295">
        <f>'7.  Persistence Report'!T145</f>
        <v>5.6988350859517691</v>
      </c>
      <c r="R522" s="295"/>
      <c r="S522" s="295"/>
      <c r="T522" s="295"/>
      <c r="U522" s="295"/>
      <c r="V522" s="295"/>
      <c r="W522" s="295"/>
      <c r="X522" s="295"/>
      <c r="Y522" s="776">
        <v>1</v>
      </c>
      <c r="Z522" s="759"/>
      <c r="AA522" s="759"/>
      <c r="AB522" s="759"/>
      <c r="AC522" s="759"/>
      <c r="AD522" s="759"/>
      <c r="AE522" s="759"/>
      <c r="AF522" s="414"/>
      <c r="AG522" s="414"/>
      <c r="AH522" s="414"/>
      <c r="AI522" s="414"/>
      <c r="AJ522" s="414"/>
      <c r="AK522" s="414"/>
      <c r="AL522" s="414"/>
      <c r="AM522" s="296">
        <f>SUM(Y522:AL522)</f>
        <v>1</v>
      </c>
    </row>
    <row r="523" spans="1:39" ht="15.5" outlineLevel="1">
      <c r="A523" s="526"/>
      <c r="B523" s="428"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760">
        <f>Y522</f>
        <v>1</v>
      </c>
      <c r="Z523" s="760">
        <f t="shared" si="935" ref="Z523:AE523">Z522</f>
        <v>0</v>
      </c>
      <c r="AA523" s="760">
        <f t="shared" si="935"/>
        <v>0</v>
      </c>
      <c r="AB523" s="760">
        <f t="shared" si="935"/>
        <v>0</v>
      </c>
      <c r="AC523" s="760">
        <f t="shared" si="935"/>
        <v>0</v>
      </c>
      <c r="AD523" s="760">
        <f t="shared" si="935"/>
        <v>0</v>
      </c>
      <c r="AE523" s="760">
        <f t="shared" si="935"/>
        <v>0</v>
      </c>
      <c r="AF523" s="410">
        <f t="shared" si="936" ref="AF523">AF522</f>
        <v>0</v>
      </c>
      <c r="AG523" s="410">
        <f t="shared" si="937" ref="AG523">AG522</f>
        <v>0</v>
      </c>
      <c r="AH523" s="410">
        <f t="shared" si="938" ref="AH523">AH522</f>
        <v>0</v>
      </c>
      <c r="AI523" s="410">
        <f t="shared" si="939" ref="AI523">AI522</f>
        <v>0</v>
      </c>
      <c r="AJ523" s="410">
        <f t="shared" si="940" ref="AJ523">AJ522</f>
        <v>0</v>
      </c>
      <c r="AK523" s="410">
        <f t="shared" si="941" ref="AK523">AK522</f>
        <v>0</v>
      </c>
      <c r="AL523" s="410">
        <f t="shared" si="942" ref="AL523">AL522</f>
        <v>0</v>
      </c>
      <c r="AM523" s="306"/>
    </row>
    <row r="524" spans="1:39" ht="15.5" outlineLevel="1">
      <c r="A524" s="526"/>
      <c r="B524" s="425"/>
      <c r="C524" s="291"/>
      <c r="D524" s="750"/>
      <c r="E524" s="750"/>
      <c r="F524" s="750"/>
      <c r="G524" s="750"/>
      <c r="H524" s="750"/>
      <c r="I524" s="750"/>
      <c r="J524" s="750"/>
      <c r="K524" s="750"/>
      <c r="L524" s="750"/>
      <c r="M524" s="750"/>
      <c r="N524" s="750"/>
      <c r="O524" s="750"/>
      <c r="P524" s="750"/>
      <c r="Q524" s="750"/>
      <c r="R524" s="750"/>
      <c r="S524" s="750"/>
      <c r="T524" s="750"/>
      <c r="U524" s="750"/>
      <c r="V524" s="750"/>
      <c r="W524" s="750"/>
      <c r="X524" s="750"/>
      <c r="Y524" s="761"/>
      <c r="Z524" s="780"/>
      <c r="AA524" s="780"/>
      <c r="AB524" s="780"/>
      <c r="AC524" s="780"/>
      <c r="AD524" s="780"/>
      <c r="AE524" s="780"/>
      <c r="AF524" s="422"/>
      <c r="AG524" s="422"/>
      <c r="AH524" s="422"/>
      <c r="AI524" s="422"/>
      <c r="AJ524" s="422"/>
      <c r="AK524" s="422"/>
      <c r="AL524" s="422"/>
      <c r="AM524" s="306"/>
    </row>
    <row r="525" spans="1:39" ht="15.5" outlineLevel="1">
      <c r="A525" s="526">
        <v>38</v>
      </c>
      <c r="B525" s="838" t="str">
        <f>'7.  Persistence Report'!D147</f>
        <v>Swimming Pool Efficiency Program</v>
      </c>
      <c r="C525" s="291" t="s">
        <v>25</v>
      </c>
      <c r="D525" s="295">
        <f>'7.  Persistence Report'!AW147</f>
        <v>0.94096324615384619</v>
      </c>
      <c r="E525" s="295">
        <f>'7.  Persistence Report'!AX147</f>
        <v>0.94096324615384619</v>
      </c>
      <c r="F525" s="295">
        <f>'7.  Persistence Report'!AY147</f>
        <v>0.94096324615384619</v>
      </c>
      <c r="G525" s="295"/>
      <c r="H525" s="295"/>
      <c r="I525" s="295"/>
      <c r="J525" s="295"/>
      <c r="K525" s="295"/>
      <c r="L525" s="295"/>
      <c r="M525" s="295"/>
      <c r="N525" s="295">
        <v>12</v>
      </c>
      <c r="O525" s="295">
        <f>'7.  Persistence Report'!R147</f>
        <v>0.00018178181070651933</v>
      </c>
      <c r="P525" s="295"/>
      <c r="Q525" s="295"/>
      <c r="R525" s="295"/>
      <c r="S525" s="295"/>
      <c r="T525" s="295"/>
      <c r="U525" s="295"/>
      <c r="V525" s="295"/>
      <c r="W525" s="295"/>
      <c r="X525" s="295"/>
      <c r="Y525" s="776">
        <v>1</v>
      </c>
      <c r="Z525" s="759"/>
      <c r="AA525" s="759"/>
      <c r="AB525" s="759"/>
      <c r="AC525" s="759"/>
      <c r="AD525" s="759"/>
      <c r="AE525" s="759"/>
      <c r="AF525" s="414"/>
      <c r="AG525" s="414"/>
      <c r="AH525" s="414"/>
      <c r="AI525" s="414"/>
      <c r="AJ525" s="414"/>
      <c r="AK525" s="414"/>
      <c r="AL525" s="414"/>
      <c r="AM525" s="296">
        <f>SUM(Y525:AL525)</f>
        <v>1</v>
      </c>
    </row>
    <row r="526" spans="1:39" ht="15.5" outlineLevel="1">
      <c r="A526" s="526"/>
      <c r="B526" s="428"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760">
        <f>Y525</f>
        <v>1</v>
      </c>
      <c r="Z526" s="760">
        <f t="shared" si="943" ref="Z526:AE526">Z525</f>
        <v>0</v>
      </c>
      <c r="AA526" s="760">
        <f t="shared" si="943"/>
        <v>0</v>
      </c>
      <c r="AB526" s="760">
        <f t="shared" si="943"/>
        <v>0</v>
      </c>
      <c r="AC526" s="760">
        <f t="shared" si="943"/>
        <v>0</v>
      </c>
      <c r="AD526" s="760">
        <f t="shared" si="943"/>
        <v>0</v>
      </c>
      <c r="AE526" s="760">
        <f t="shared" si="943"/>
        <v>0</v>
      </c>
      <c r="AF526" s="410">
        <f t="shared" si="944" ref="AF526">AF525</f>
        <v>0</v>
      </c>
      <c r="AG526" s="410">
        <f t="shared" si="945" ref="AG526">AG525</f>
        <v>0</v>
      </c>
      <c r="AH526" s="410">
        <f t="shared" si="946" ref="AH526">AH525</f>
        <v>0</v>
      </c>
      <c r="AI526" s="410">
        <f t="shared" si="947" ref="AI526">AI525</f>
        <v>0</v>
      </c>
      <c r="AJ526" s="410">
        <f t="shared" si="948" ref="AJ526">AJ525</f>
        <v>0</v>
      </c>
      <c r="AK526" s="410">
        <f t="shared" si="949" ref="AK526">AK525</f>
        <v>0</v>
      </c>
      <c r="AL526" s="410">
        <f t="shared" si="950" ref="AL526">AL525</f>
        <v>0</v>
      </c>
      <c r="AM526" s="306"/>
    </row>
    <row r="527" spans="1:39" ht="15.5" outlineLevel="1">
      <c r="A527" s="526"/>
      <c r="B527" s="425"/>
      <c r="C527" s="291"/>
      <c r="D527" s="750"/>
      <c r="E527" s="750"/>
      <c r="F527" s="750"/>
      <c r="G527" s="750"/>
      <c r="H527" s="750"/>
      <c r="I527" s="750"/>
      <c r="J527" s="750"/>
      <c r="K527" s="750"/>
      <c r="L527" s="750"/>
      <c r="M527" s="750"/>
      <c r="N527" s="750"/>
      <c r="O527" s="750"/>
      <c r="P527" s="750"/>
      <c r="Q527" s="750"/>
      <c r="R527" s="750"/>
      <c r="S527" s="750"/>
      <c r="T527" s="750"/>
      <c r="U527" s="750"/>
      <c r="V527" s="750"/>
      <c r="W527" s="750"/>
      <c r="X527" s="750"/>
      <c r="Y527" s="761"/>
      <c r="Z527" s="780"/>
      <c r="AA527" s="780"/>
      <c r="AB527" s="780"/>
      <c r="AC527" s="780"/>
      <c r="AD527" s="780"/>
      <c r="AE527" s="780"/>
      <c r="AF527" s="422"/>
      <c r="AG527" s="422"/>
      <c r="AH527" s="422"/>
      <c r="AI527" s="422"/>
      <c r="AJ527" s="422"/>
      <c r="AK527" s="422"/>
      <c r="AL527" s="422"/>
      <c r="AM527" s="306"/>
    </row>
    <row r="528" spans="1:39" ht="31" outlineLevel="1">
      <c r="A528" s="526">
        <v>39</v>
      </c>
      <c r="B528" s="425"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776"/>
      <c r="Z528" s="759"/>
      <c r="AA528" s="759"/>
      <c r="AB528" s="759"/>
      <c r="AC528" s="759"/>
      <c r="AD528" s="759"/>
      <c r="AE528" s="759"/>
      <c r="AF528" s="414"/>
      <c r="AG528" s="414"/>
      <c r="AH528" s="414"/>
      <c r="AI528" s="414"/>
      <c r="AJ528" s="414"/>
      <c r="AK528" s="414"/>
      <c r="AL528" s="414"/>
      <c r="AM528" s="296">
        <f>SUM(Y528:AL528)</f>
        <v>0</v>
      </c>
    </row>
    <row r="529" spans="1:39" ht="15.5" outlineLevel="1">
      <c r="A529" s="526"/>
      <c r="B529" s="428"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760">
        <f>Y528</f>
        <v>0</v>
      </c>
      <c r="Z529" s="760">
        <f t="shared" si="951" ref="Z529:AE529">Z528</f>
        <v>0</v>
      </c>
      <c r="AA529" s="760">
        <f t="shared" si="951"/>
        <v>0</v>
      </c>
      <c r="AB529" s="760">
        <f t="shared" si="951"/>
        <v>0</v>
      </c>
      <c r="AC529" s="760">
        <f t="shared" si="951"/>
        <v>0</v>
      </c>
      <c r="AD529" s="760">
        <f t="shared" si="951"/>
        <v>0</v>
      </c>
      <c r="AE529" s="760">
        <f t="shared" si="951"/>
        <v>0</v>
      </c>
      <c r="AF529" s="410">
        <f t="shared" si="952" ref="AF529">AF528</f>
        <v>0</v>
      </c>
      <c r="AG529" s="410">
        <f t="shared" si="953" ref="AG529">AG528</f>
        <v>0</v>
      </c>
      <c r="AH529" s="410">
        <f t="shared" si="954" ref="AH529">AH528</f>
        <v>0</v>
      </c>
      <c r="AI529" s="410">
        <f t="shared" si="955" ref="AI529">AI528</f>
        <v>0</v>
      </c>
      <c r="AJ529" s="410">
        <f t="shared" si="956" ref="AJ529">AJ528</f>
        <v>0</v>
      </c>
      <c r="AK529" s="410">
        <f t="shared" si="957" ref="AK529">AK528</f>
        <v>0</v>
      </c>
      <c r="AL529" s="410">
        <f t="shared" si="958" ref="AL529">AL528</f>
        <v>0</v>
      </c>
      <c r="AM529" s="306"/>
    </row>
    <row r="530" spans="1:39" ht="15.5" outlineLevel="1">
      <c r="A530" s="526"/>
      <c r="B530" s="425"/>
      <c r="C530" s="291"/>
      <c r="D530" s="750"/>
      <c r="E530" s="750"/>
      <c r="F530" s="750"/>
      <c r="G530" s="750"/>
      <c r="H530" s="750"/>
      <c r="I530" s="750"/>
      <c r="J530" s="750"/>
      <c r="K530" s="750"/>
      <c r="L530" s="750"/>
      <c r="M530" s="750"/>
      <c r="N530" s="750"/>
      <c r="O530" s="750"/>
      <c r="P530" s="750"/>
      <c r="Q530" s="750"/>
      <c r="R530" s="750"/>
      <c r="S530" s="750"/>
      <c r="T530" s="750"/>
      <c r="U530" s="750"/>
      <c r="V530" s="750"/>
      <c r="W530" s="750"/>
      <c r="X530" s="750"/>
      <c r="Y530" s="761"/>
      <c r="Z530" s="780"/>
      <c r="AA530" s="780"/>
      <c r="AB530" s="780"/>
      <c r="AC530" s="780"/>
      <c r="AD530" s="780"/>
      <c r="AE530" s="780"/>
      <c r="AF530" s="422"/>
      <c r="AG530" s="422"/>
      <c r="AH530" s="422"/>
      <c r="AI530" s="422"/>
      <c r="AJ530" s="422"/>
      <c r="AK530" s="422"/>
      <c r="AL530" s="422"/>
      <c r="AM530" s="306"/>
    </row>
    <row r="531" spans="1:39" ht="31" outlineLevel="1">
      <c r="A531" s="526">
        <v>40</v>
      </c>
      <c r="B531" s="425"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776"/>
      <c r="Z531" s="759"/>
      <c r="AA531" s="759"/>
      <c r="AB531" s="759"/>
      <c r="AC531" s="759"/>
      <c r="AD531" s="759"/>
      <c r="AE531" s="759"/>
      <c r="AF531" s="414"/>
      <c r="AG531" s="414"/>
      <c r="AH531" s="414"/>
      <c r="AI531" s="414"/>
      <c r="AJ531" s="414"/>
      <c r="AK531" s="414"/>
      <c r="AL531" s="414"/>
      <c r="AM531" s="296">
        <f>SUM(Y531:AL531)</f>
        <v>0</v>
      </c>
    </row>
    <row r="532" spans="1:39" ht="15.5" outlineLevel="1">
      <c r="A532" s="526"/>
      <c r="B532" s="428"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760">
        <f>Y531</f>
        <v>0</v>
      </c>
      <c r="Z532" s="760">
        <f t="shared" si="959" ref="Z532:AE532">Z531</f>
        <v>0</v>
      </c>
      <c r="AA532" s="760">
        <f t="shared" si="959"/>
        <v>0</v>
      </c>
      <c r="AB532" s="760">
        <f t="shared" si="959"/>
        <v>0</v>
      </c>
      <c r="AC532" s="760">
        <f t="shared" si="959"/>
        <v>0</v>
      </c>
      <c r="AD532" s="760">
        <f t="shared" si="959"/>
        <v>0</v>
      </c>
      <c r="AE532" s="760">
        <f t="shared" si="959"/>
        <v>0</v>
      </c>
      <c r="AF532" s="410">
        <f t="shared" si="960" ref="AF532">AF531</f>
        <v>0</v>
      </c>
      <c r="AG532" s="410">
        <f t="shared" si="961" ref="AG532">AG531</f>
        <v>0</v>
      </c>
      <c r="AH532" s="410">
        <f t="shared" si="962" ref="AH532">AH531</f>
        <v>0</v>
      </c>
      <c r="AI532" s="410">
        <f t="shared" si="963" ref="AI532">AI531</f>
        <v>0</v>
      </c>
      <c r="AJ532" s="410">
        <f t="shared" si="964" ref="AJ532">AJ531</f>
        <v>0</v>
      </c>
      <c r="AK532" s="410">
        <f t="shared" si="965" ref="AK532">AK531</f>
        <v>0</v>
      </c>
      <c r="AL532" s="410">
        <f t="shared" si="966" ref="AL532">AL531</f>
        <v>0</v>
      </c>
      <c r="AM532" s="306"/>
    </row>
    <row r="533" spans="1:39" ht="15.5" outlineLevel="1">
      <c r="A533" s="526"/>
      <c r="B533" s="425"/>
      <c r="C533" s="291"/>
      <c r="D533" s="750"/>
      <c r="E533" s="750"/>
      <c r="F533" s="750"/>
      <c r="G533" s="750"/>
      <c r="H533" s="750"/>
      <c r="I533" s="750"/>
      <c r="J533" s="750"/>
      <c r="K533" s="750"/>
      <c r="L533" s="750"/>
      <c r="M533" s="750"/>
      <c r="N533" s="750"/>
      <c r="O533" s="750"/>
      <c r="P533" s="750"/>
      <c r="Q533" s="750"/>
      <c r="R533" s="750"/>
      <c r="S533" s="750"/>
      <c r="T533" s="750"/>
      <c r="U533" s="750"/>
      <c r="V533" s="750"/>
      <c r="W533" s="750"/>
      <c r="X533" s="750"/>
      <c r="Y533" s="761"/>
      <c r="Z533" s="780"/>
      <c r="AA533" s="780"/>
      <c r="AB533" s="780"/>
      <c r="AC533" s="780"/>
      <c r="AD533" s="780"/>
      <c r="AE533" s="780"/>
      <c r="AF533" s="422"/>
      <c r="AG533" s="422"/>
      <c r="AH533" s="422"/>
      <c r="AI533" s="422"/>
      <c r="AJ533" s="422"/>
      <c r="AK533" s="422"/>
      <c r="AL533" s="422"/>
      <c r="AM533" s="306"/>
    </row>
    <row r="534" spans="1:39" ht="46.5" outlineLevel="1">
      <c r="A534" s="526">
        <v>41</v>
      </c>
      <c r="B534" s="425"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776"/>
      <c r="Z534" s="759"/>
      <c r="AA534" s="759"/>
      <c r="AB534" s="759"/>
      <c r="AC534" s="759"/>
      <c r="AD534" s="759"/>
      <c r="AE534" s="759"/>
      <c r="AF534" s="414"/>
      <c r="AG534" s="414"/>
      <c r="AH534" s="414"/>
      <c r="AI534" s="414"/>
      <c r="AJ534" s="414"/>
      <c r="AK534" s="414"/>
      <c r="AL534" s="414"/>
      <c r="AM534" s="296">
        <f>SUM(Y534:AL534)</f>
        <v>0</v>
      </c>
    </row>
    <row r="535" spans="1:39" ht="15.5" outlineLevel="1">
      <c r="A535" s="526"/>
      <c r="B535" s="428"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760">
        <f>Y534</f>
        <v>0</v>
      </c>
      <c r="Z535" s="760">
        <f t="shared" si="967" ref="Z535:AE535">Z534</f>
        <v>0</v>
      </c>
      <c r="AA535" s="760">
        <f t="shared" si="967"/>
        <v>0</v>
      </c>
      <c r="AB535" s="760">
        <f t="shared" si="967"/>
        <v>0</v>
      </c>
      <c r="AC535" s="760">
        <f t="shared" si="967"/>
        <v>0</v>
      </c>
      <c r="AD535" s="760">
        <f t="shared" si="967"/>
        <v>0</v>
      </c>
      <c r="AE535" s="760">
        <f t="shared" si="967"/>
        <v>0</v>
      </c>
      <c r="AF535" s="410">
        <f t="shared" si="968" ref="AF535">AF534</f>
        <v>0</v>
      </c>
      <c r="AG535" s="410">
        <f t="shared" si="969" ref="AG535">AG534</f>
        <v>0</v>
      </c>
      <c r="AH535" s="410">
        <f t="shared" si="970" ref="AH535">AH534</f>
        <v>0</v>
      </c>
      <c r="AI535" s="410">
        <f t="shared" si="971" ref="AI535">AI534</f>
        <v>0</v>
      </c>
      <c r="AJ535" s="410">
        <f t="shared" si="972" ref="AJ535">AJ534</f>
        <v>0</v>
      </c>
      <c r="AK535" s="410">
        <f t="shared" si="973" ref="AK535">AK534</f>
        <v>0</v>
      </c>
      <c r="AL535" s="410">
        <f t="shared" si="974" ref="AL535">AL534</f>
        <v>0</v>
      </c>
      <c r="AM535" s="306"/>
    </row>
    <row r="536" spans="1:39" ht="15.5" outlineLevel="1">
      <c r="A536" s="526"/>
      <c r="B536" s="425"/>
      <c r="C536" s="291"/>
      <c r="D536" s="750"/>
      <c r="E536" s="750"/>
      <c r="F536" s="750"/>
      <c r="G536" s="750"/>
      <c r="H536" s="750"/>
      <c r="I536" s="750"/>
      <c r="J536" s="750"/>
      <c r="K536" s="750"/>
      <c r="L536" s="750"/>
      <c r="M536" s="750"/>
      <c r="N536" s="750"/>
      <c r="O536" s="750"/>
      <c r="P536" s="750"/>
      <c r="Q536" s="750"/>
      <c r="R536" s="750"/>
      <c r="S536" s="750"/>
      <c r="T536" s="750"/>
      <c r="U536" s="750"/>
      <c r="V536" s="750"/>
      <c r="W536" s="750"/>
      <c r="X536" s="750"/>
      <c r="Y536" s="761"/>
      <c r="Z536" s="780"/>
      <c r="AA536" s="780"/>
      <c r="AB536" s="780"/>
      <c r="AC536" s="780"/>
      <c r="AD536" s="780"/>
      <c r="AE536" s="780"/>
      <c r="AF536" s="422"/>
      <c r="AG536" s="422"/>
      <c r="AH536" s="422"/>
      <c r="AI536" s="422"/>
      <c r="AJ536" s="422"/>
      <c r="AK536" s="422"/>
      <c r="AL536" s="422"/>
      <c r="AM536" s="306"/>
    </row>
    <row r="537" spans="1:39" ht="31" outlineLevel="1">
      <c r="A537" s="526">
        <v>42</v>
      </c>
      <c r="B537" s="425" t="s">
        <v>134</v>
      </c>
      <c r="C537" s="291" t="s">
        <v>25</v>
      </c>
      <c r="D537" s="295"/>
      <c r="E537" s="295"/>
      <c r="F537" s="295"/>
      <c r="G537" s="295"/>
      <c r="H537" s="295"/>
      <c r="I537" s="295"/>
      <c r="J537" s="295"/>
      <c r="K537" s="295"/>
      <c r="L537" s="295"/>
      <c r="M537" s="295"/>
      <c r="N537" s="750"/>
      <c r="O537" s="295"/>
      <c r="P537" s="295"/>
      <c r="Q537" s="295"/>
      <c r="R537" s="295"/>
      <c r="S537" s="295"/>
      <c r="T537" s="295"/>
      <c r="U537" s="295"/>
      <c r="V537" s="295"/>
      <c r="W537" s="295"/>
      <c r="X537" s="295"/>
      <c r="Y537" s="776"/>
      <c r="Z537" s="759"/>
      <c r="AA537" s="759"/>
      <c r="AB537" s="759"/>
      <c r="AC537" s="759"/>
      <c r="AD537" s="759"/>
      <c r="AE537" s="759"/>
      <c r="AF537" s="414"/>
      <c r="AG537" s="414"/>
      <c r="AH537" s="414"/>
      <c r="AI537" s="414"/>
      <c r="AJ537" s="414"/>
      <c r="AK537" s="414"/>
      <c r="AL537" s="414"/>
      <c r="AM537" s="296">
        <f>SUM(Y537:AL537)</f>
        <v>0</v>
      </c>
    </row>
    <row r="538" spans="1:39" ht="15.5" outlineLevel="1">
      <c r="A538" s="526"/>
      <c r="B538" s="428" t="s">
        <v>308</v>
      </c>
      <c r="C538" s="291" t="s">
        <v>163</v>
      </c>
      <c r="D538" s="295"/>
      <c r="E538" s="295"/>
      <c r="F538" s="295"/>
      <c r="G538" s="295"/>
      <c r="H538" s="295"/>
      <c r="I538" s="295"/>
      <c r="J538" s="295"/>
      <c r="K538" s="295"/>
      <c r="L538" s="295"/>
      <c r="M538" s="295"/>
      <c r="N538" s="751"/>
      <c r="O538" s="295"/>
      <c r="P538" s="295"/>
      <c r="Q538" s="295"/>
      <c r="R538" s="295"/>
      <c r="S538" s="295"/>
      <c r="T538" s="295"/>
      <c r="U538" s="295"/>
      <c r="V538" s="295"/>
      <c r="W538" s="295"/>
      <c r="X538" s="295"/>
      <c r="Y538" s="760">
        <f>Y537</f>
        <v>0</v>
      </c>
      <c r="Z538" s="760">
        <f t="shared" si="975" ref="Z538:AE538">Z537</f>
        <v>0</v>
      </c>
      <c r="AA538" s="760">
        <f t="shared" si="975"/>
        <v>0</v>
      </c>
      <c r="AB538" s="760">
        <f t="shared" si="975"/>
        <v>0</v>
      </c>
      <c r="AC538" s="760">
        <f t="shared" si="975"/>
        <v>0</v>
      </c>
      <c r="AD538" s="760">
        <f t="shared" si="975"/>
        <v>0</v>
      </c>
      <c r="AE538" s="760">
        <f t="shared" si="975"/>
        <v>0</v>
      </c>
      <c r="AF538" s="410">
        <f t="shared" si="976" ref="AF538">AF537</f>
        <v>0</v>
      </c>
      <c r="AG538" s="410">
        <f t="shared" si="977" ref="AG538">AG537</f>
        <v>0</v>
      </c>
      <c r="AH538" s="410">
        <f t="shared" si="978" ref="AH538">AH537</f>
        <v>0</v>
      </c>
      <c r="AI538" s="410">
        <f t="shared" si="979" ref="AI538">AI537</f>
        <v>0</v>
      </c>
      <c r="AJ538" s="410">
        <f t="shared" si="980" ref="AJ538">AJ537</f>
        <v>0</v>
      </c>
      <c r="AK538" s="410">
        <f t="shared" si="981" ref="AK538">AK537</f>
        <v>0</v>
      </c>
      <c r="AL538" s="410">
        <f t="shared" si="982" ref="AL538">AL537</f>
        <v>0</v>
      </c>
      <c r="AM538" s="306"/>
    </row>
    <row r="539" spans="1:39" ht="15.5" outlineLevel="1">
      <c r="A539" s="526"/>
      <c r="B539" s="425"/>
      <c r="C539" s="291"/>
      <c r="D539" s="750"/>
      <c r="E539" s="750"/>
      <c r="F539" s="750"/>
      <c r="G539" s="750"/>
      <c r="H539" s="750"/>
      <c r="I539" s="750"/>
      <c r="J539" s="750"/>
      <c r="K539" s="750"/>
      <c r="L539" s="750"/>
      <c r="M539" s="750"/>
      <c r="N539" s="750"/>
      <c r="O539" s="750"/>
      <c r="P539" s="750"/>
      <c r="Q539" s="750"/>
      <c r="R539" s="750"/>
      <c r="S539" s="750"/>
      <c r="T539" s="750"/>
      <c r="U539" s="750"/>
      <c r="V539" s="750"/>
      <c r="W539" s="750"/>
      <c r="X539" s="750"/>
      <c r="Y539" s="761"/>
      <c r="Z539" s="780"/>
      <c r="AA539" s="780"/>
      <c r="AB539" s="780"/>
      <c r="AC539" s="780"/>
      <c r="AD539" s="780"/>
      <c r="AE539" s="780"/>
      <c r="AF539" s="422"/>
      <c r="AG539" s="422"/>
      <c r="AH539" s="422"/>
      <c r="AI539" s="422"/>
      <c r="AJ539" s="422"/>
      <c r="AK539" s="422"/>
      <c r="AL539" s="422"/>
      <c r="AM539" s="306"/>
    </row>
    <row r="540" spans="1:39" ht="15.5" outlineLevel="1">
      <c r="A540" s="526">
        <v>43</v>
      </c>
      <c r="B540" s="425"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776"/>
      <c r="Z540" s="759"/>
      <c r="AA540" s="759"/>
      <c r="AB540" s="759"/>
      <c r="AC540" s="759"/>
      <c r="AD540" s="759"/>
      <c r="AE540" s="759"/>
      <c r="AF540" s="414"/>
      <c r="AG540" s="414"/>
      <c r="AH540" s="414"/>
      <c r="AI540" s="414"/>
      <c r="AJ540" s="414"/>
      <c r="AK540" s="414"/>
      <c r="AL540" s="414"/>
      <c r="AM540" s="296">
        <f>SUM(Y540:AL540)</f>
        <v>0</v>
      </c>
    </row>
    <row r="541" spans="1:39" ht="15.5" outlineLevel="1">
      <c r="A541" s="526"/>
      <c r="B541" s="428"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760">
        <f>Y540</f>
        <v>0</v>
      </c>
      <c r="Z541" s="760">
        <f t="shared" si="983" ref="Z541:AE541">Z540</f>
        <v>0</v>
      </c>
      <c r="AA541" s="760">
        <f t="shared" si="983"/>
        <v>0</v>
      </c>
      <c r="AB541" s="760">
        <f t="shared" si="983"/>
        <v>0</v>
      </c>
      <c r="AC541" s="760">
        <f t="shared" si="983"/>
        <v>0</v>
      </c>
      <c r="AD541" s="760">
        <f t="shared" si="983"/>
        <v>0</v>
      </c>
      <c r="AE541" s="760">
        <f t="shared" si="983"/>
        <v>0</v>
      </c>
      <c r="AF541" s="410">
        <f t="shared" si="984" ref="AF541">AF540</f>
        <v>0</v>
      </c>
      <c r="AG541" s="410">
        <f t="shared" si="985" ref="AG541">AG540</f>
        <v>0</v>
      </c>
      <c r="AH541" s="410">
        <f t="shared" si="986" ref="AH541">AH540</f>
        <v>0</v>
      </c>
      <c r="AI541" s="410">
        <f t="shared" si="987" ref="AI541">AI540</f>
        <v>0</v>
      </c>
      <c r="AJ541" s="410">
        <f t="shared" si="988" ref="AJ541">AJ540</f>
        <v>0</v>
      </c>
      <c r="AK541" s="410">
        <f t="shared" si="989" ref="AK541">AK540</f>
        <v>0</v>
      </c>
      <c r="AL541" s="410">
        <f t="shared" si="990" ref="AL541">AL540</f>
        <v>0</v>
      </c>
      <c r="AM541" s="306"/>
    </row>
    <row r="542" spans="1:39" ht="15.5" outlineLevel="1">
      <c r="A542" s="526"/>
      <c r="B542" s="425"/>
      <c r="C542" s="291"/>
      <c r="D542" s="750"/>
      <c r="E542" s="750"/>
      <c r="F542" s="750"/>
      <c r="G542" s="750"/>
      <c r="H542" s="750"/>
      <c r="I542" s="750"/>
      <c r="J542" s="750"/>
      <c r="K542" s="750"/>
      <c r="L542" s="750"/>
      <c r="M542" s="750"/>
      <c r="N542" s="750"/>
      <c r="O542" s="750"/>
      <c r="P542" s="750"/>
      <c r="Q542" s="750"/>
      <c r="R542" s="750"/>
      <c r="S542" s="750"/>
      <c r="T542" s="750"/>
      <c r="U542" s="750"/>
      <c r="V542" s="750"/>
      <c r="W542" s="750"/>
      <c r="X542" s="750"/>
      <c r="Y542" s="761"/>
      <c r="Z542" s="780"/>
      <c r="AA542" s="780"/>
      <c r="AB542" s="780"/>
      <c r="AC542" s="780"/>
      <c r="AD542" s="780"/>
      <c r="AE542" s="780"/>
      <c r="AF542" s="422"/>
      <c r="AG542" s="422"/>
      <c r="AH542" s="422"/>
      <c r="AI542" s="422"/>
      <c r="AJ542" s="422"/>
      <c r="AK542" s="422"/>
      <c r="AL542" s="422"/>
      <c r="AM542" s="306"/>
    </row>
    <row r="543" spans="1:39" ht="46.5" outlineLevel="1">
      <c r="A543" s="526">
        <v>44</v>
      </c>
      <c r="B543" s="425"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776"/>
      <c r="Z543" s="759"/>
      <c r="AA543" s="759"/>
      <c r="AB543" s="759"/>
      <c r="AC543" s="759"/>
      <c r="AD543" s="759"/>
      <c r="AE543" s="759"/>
      <c r="AF543" s="414"/>
      <c r="AG543" s="414"/>
      <c r="AH543" s="414"/>
      <c r="AI543" s="414"/>
      <c r="AJ543" s="414"/>
      <c r="AK543" s="414"/>
      <c r="AL543" s="414"/>
      <c r="AM543" s="296">
        <f>SUM(Y543:AL543)</f>
        <v>0</v>
      </c>
    </row>
    <row r="544" spans="1:39" ht="15.5" outlineLevel="1">
      <c r="A544" s="526"/>
      <c r="B544" s="428"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760">
        <f>Y543</f>
        <v>0</v>
      </c>
      <c r="Z544" s="760">
        <f t="shared" si="991" ref="Z544:AE544">Z543</f>
        <v>0</v>
      </c>
      <c r="AA544" s="760">
        <f t="shared" si="991"/>
        <v>0</v>
      </c>
      <c r="AB544" s="760">
        <f t="shared" si="991"/>
        <v>0</v>
      </c>
      <c r="AC544" s="760">
        <f t="shared" si="991"/>
        <v>0</v>
      </c>
      <c r="AD544" s="760">
        <f t="shared" si="991"/>
        <v>0</v>
      </c>
      <c r="AE544" s="760">
        <f t="shared" si="991"/>
        <v>0</v>
      </c>
      <c r="AF544" s="410">
        <f t="shared" si="992" ref="AF544">AF543</f>
        <v>0</v>
      </c>
      <c r="AG544" s="410">
        <f t="shared" si="993" ref="AG544">AG543</f>
        <v>0</v>
      </c>
      <c r="AH544" s="410">
        <f t="shared" si="994" ref="AH544">AH543</f>
        <v>0</v>
      </c>
      <c r="AI544" s="410">
        <f t="shared" si="995" ref="AI544">AI543</f>
        <v>0</v>
      </c>
      <c r="AJ544" s="410">
        <f t="shared" si="996" ref="AJ544">AJ543</f>
        <v>0</v>
      </c>
      <c r="AK544" s="410">
        <f t="shared" si="997" ref="AK544">AK543</f>
        <v>0</v>
      </c>
      <c r="AL544" s="410">
        <f t="shared" si="998" ref="AL544">AL543</f>
        <v>0</v>
      </c>
      <c r="AM544" s="306"/>
    </row>
    <row r="545" spans="1:39" ht="15.5" outlineLevel="1">
      <c r="A545" s="526"/>
      <c r="B545" s="425"/>
      <c r="C545" s="291"/>
      <c r="D545" s="750"/>
      <c r="E545" s="750"/>
      <c r="F545" s="750"/>
      <c r="G545" s="750"/>
      <c r="H545" s="750"/>
      <c r="I545" s="750"/>
      <c r="J545" s="750"/>
      <c r="K545" s="750"/>
      <c r="L545" s="750"/>
      <c r="M545" s="750"/>
      <c r="N545" s="750"/>
      <c r="O545" s="750"/>
      <c r="P545" s="750"/>
      <c r="Q545" s="750"/>
      <c r="R545" s="750"/>
      <c r="S545" s="750"/>
      <c r="T545" s="750"/>
      <c r="U545" s="750"/>
      <c r="V545" s="750"/>
      <c r="W545" s="750"/>
      <c r="X545" s="750"/>
      <c r="Y545" s="761"/>
      <c r="Z545" s="780"/>
      <c r="AA545" s="780"/>
      <c r="AB545" s="780"/>
      <c r="AC545" s="780"/>
      <c r="AD545" s="780"/>
      <c r="AE545" s="780"/>
      <c r="AF545" s="422"/>
      <c r="AG545" s="422"/>
      <c r="AH545" s="422"/>
      <c r="AI545" s="422"/>
      <c r="AJ545" s="422"/>
      <c r="AK545" s="422"/>
      <c r="AL545" s="422"/>
      <c r="AM545" s="306"/>
    </row>
    <row r="546" spans="1:39" ht="31" outlineLevel="1">
      <c r="A546" s="526">
        <v>45</v>
      </c>
      <c r="B546" s="425"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776"/>
      <c r="Z546" s="759"/>
      <c r="AA546" s="759"/>
      <c r="AB546" s="759"/>
      <c r="AC546" s="759"/>
      <c r="AD546" s="759"/>
      <c r="AE546" s="759"/>
      <c r="AF546" s="414"/>
      <c r="AG546" s="414"/>
      <c r="AH546" s="414"/>
      <c r="AI546" s="414"/>
      <c r="AJ546" s="414"/>
      <c r="AK546" s="414"/>
      <c r="AL546" s="414"/>
      <c r="AM546" s="296">
        <f>SUM(Y546:AL546)</f>
        <v>0</v>
      </c>
    </row>
    <row r="547" spans="1:39" ht="15.5" outlineLevel="1">
      <c r="A547" s="526"/>
      <c r="B547" s="428"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760">
        <f>Y546</f>
        <v>0</v>
      </c>
      <c r="Z547" s="760">
        <f t="shared" si="999" ref="Z547:AE547">Z546</f>
        <v>0</v>
      </c>
      <c r="AA547" s="760">
        <f t="shared" si="999"/>
        <v>0</v>
      </c>
      <c r="AB547" s="760">
        <f t="shared" si="999"/>
        <v>0</v>
      </c>
      <c r="AC547" s="760">
        <f t="shared" si="999"/>
        <v>0</v>
      </c>
      <c r="AD547" s="760">
        <f t="shared" si="999"/>
        <v>0</v>
      </c>
      <c r="AE547" s="760">
        <f t="shared" si="999"/>
        <v>0</v>
      </c>
      <c r="AF547" s="410">
        <f t="shared" si="1000" ref="AF547">AF546</f>
        <v>0</v>
      </c>
      <c r="AG547" s="410">
        <f t="shared" si="1001" ref="AG547">AG546</f>
        <v>0</v>
      </c>
      <c r="AH547" s="410">
        <f t="shared" si="1002" ref="AH547">AH546</f>
        <v>0</v>
      </c>
      <c r="AI547" s="410">
        <f t="shared" si="1003" ref="AI547">AI546</f>
        <v>0</v>
      </c>
      <c r="AJ547" s="410">
        <f t="shared" si="1004" ref="AJ547">AJ546</f>
        <v>0</v>
      </c>
      <c r="AK547" s="410">
        <f t="shared" si="1005" ref="AK547">AK546</f>
        <v>0</v>
      </c>
      <c r="AL547" s="410">
        <f t="shared" si="1006" ref="AL547">AL546</f>
        <v>0</v>
      </c>
      <c r="AM547" s="306"/>
    </row>
    <row r="548" spans="1:39" ht="15.5" outlineLevel="1">
      <c r="A548" s="526"/>
      <c r="B548" s="425"/>
      <c r="C548" s="291"/>
      <c r="D548" s="750"/>
      <c r="E548" s="750"/>
      <c r="F548" s="750"/>
      <c r="G548" s="750"/>
      <c r="H548" s="750"/>
      <c r="I548" s="750"/>
      <c r="J548" s="750"/>
      <c r="K548" s="750"/>
      <c r="L548" s="750"/>
      <c r="M548" s="750"/>
      <c r="N548" s="750"/>
      <c r="O548" s="750"/>
      <c r="P548" s="750"/>
      <c r="Q548" s="750"/>
      <c r="R548" s="750"/>
      <c r="S548" s="750"/>
      <c r="T548" s="750"/>
      <c r="U548" s="750"/>
      <c r="V548" s="750"/>
      <c r="W548" s="750"/>
      <c r="X548" s="750"/>
      <c r="Y548" s="761"/>
      <c r="Z548" s="780"/>
      <c r="AA548" s="780"/>
      <c r="AB548" s="780"/>
      <c r="AC548" s="780"/>
      <c r="AD548" s="780"/>
      <c r="AE548" s="780"/>
      <c r="AF548" s="422"/>
      <c r="AG548" s="422"/>
      <c r="AH548" s="422"/>
      <c r="AI548" s="422"/>
      <c r="AJ548" s="422"/>
      <c r="AK548" s="422"/>
      <c r="AL548" s="422"/>
      <c r="AM548" s="306"/>
    </row>
    <row r="549" spans="1:39" ht="31" outlineLevel="1">
      <c r="A549" s="526">
        <v>46</v>
      </c>
      <c r="B549" s="425"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776"/>
      <c r="Z549" s="759"/>
      <c r="AA549" s="759"/>
      <c r="AB549" s="759"/>
      <c r="AC549" s="759"/>
      <c r="AD549" s="759"/>
      <c r="AE549" s="759"/>
      <c r="AF549" s="414"/>
      <c r="AG549" s="414"/>
      <c r="AH549" s="414"/>
      <c r="AI549" s="414"/>
      <c r="AJ549" s="414"/>
      <c r="AK549" s="414"/>
      <c r="AL549" s="414"/>
      <c r="AM549" s="296">
        <f>SUM(Y549:AL549)</f>
        <v>0</v>
      </c>
    </row>
    <row r="550" spans="1:39" ht="15.5" outlineLevel="1">
      <c r="A550" s="526"/>
      <c r="B550" s="428"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760">
        <f>Y549</f>
        <v>0</v>
      </c>
      <c r="Z550" s="760">
        <f t="shared" si="1007" ref="Z550:AE550">Z549</f>
        <v>0</v>
      </c>
      <c r="AA550" s="760">
        <f t="shared" si="1007"/>
        <v>0</v>
      </c>
      <c r="AB550" s="760">
        <f t="shared" si="1007"/>
        <v>0</v>
      </c>
      <c r="AC550" s="760">
        <f t="shared" si="1007"/>
        <v>0</v>
      </c>
      <c r="AD550" s="760">
        <f t="shared" si="1007"/>
        <v>0</v>
      </c>
      <c r="AE550" s="760">
        <f t="shared" si="1007"/>
        <v>0</v>
      </c>
      <c r="AF550" s="410">
        <f t="shared" si="1008" ref="AF550">AF549</f>
        <v>0</v>
      </c>
      <c r="AG550" s="410">
        <f t="shared" si="1009" ref="AG550">AG549</f>
        <v>0</v>
      </c>
      <c r="AH550" s="410">
        <f t="shared" si="1010" ref="AH550">AH549</f>
        <v>0</v>
      </c>
      <c r="AI550" s="410">
        <f t="shared" si="1011" ref="AI550">AI549</f>
        <v>0</v>
      </c>
      <c r="AJ550" s="410">
        <f t="shared" si="1012" ref="AJ550">AJ549</f>
        <v>0</v>
      </c>
      <c r="AK550" s="410">
        <f t="shared" si="1013" ref="AK550">AK549</f>
        <v>0</v>
      </c>
      <c r="AL550" s="410">
        <f t="shared" si="1014" ref="AL550">AL549</f>
        <v>0</v>
      </c>
      <c r="AM550" s="306"/>
    </row>
    <row r="551" spans="1:39" ht="15.5" outlineLevel="1">
      <c r="A551" s="526"/>
      <c r="B551" s="425"/>
      <c r="C551" s="291"/>
      <c r="D551" s="750"/>
      <c r="E551" s="750"/>
      <c r="F551" s="750"/>
      <c r="G551" s="750"/>
      <c r="H551" s="750"/>
      <c r="I551" s="750"/>
      <c r="J551" s="750"/>
      <c r="K551" s="750"/>
      <c r="L551" s="750"/>
      <c r="M551" s="750"/>
      <c r="N551" s="750"/>
      <c r="O551" s="750"/>
      <c r="P551" s="750"/>
      <c r="Q551" s="750"/>
      <c r="R551" s="750"/>
      <c r="S551" s="750"/>
      <c r="T551" s="750"/>
      <c r="U551" s="750"/>
      <c r="V551" s="750"/>
      <c r="W551" s="750"/>
      <c r="X551" s="750"/>
      <c r="Y551" s="761"/>
      <c r="Z551" s="780"/>
      <c r="AA551" s="780"/>
      <c r="AB551" s="780"/>
      <c r="AC551" s="780"/>
      <c r="AD551" s="780"/>
      <c r="AE551" s="780"/>
      <c r="AF551" s="422"/>
      <c r="AG551" s="422"/>
      <c r="AH551" s="422"/>
      <c r="AI551" s="422"/>
      <c r="AJ551" s="422"/>
      <c r="AK551" s="422"/>
      <c r="AL551" s="422"/>
      <c r="AM551" s="306"/>
    </row>
    <row r="552" spans="1:39" ht="31" outlineLevel="1">
      <c r="A552" s="526">
        <v>47</v>
      </c>
      <c r="B552" s="425"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776"/>
      <c r="Z552" s="759"/>
      <c r="AA552" s="759"/>
      <c r="AB552" s="759"/>
      <c r="AC552" s="759"/>
      <c r="AD552" s="759"/>
      <c r="AE552" s="759"/>
      <c r="AF552" s="414"/>
      <c r="AG552" s="414"/>
      <c r="AH552" s="414"/>
      <c r="AI552" s="414"/>
      <c r="AJ552" s="414"/>
      <c r="AK552" s="414"/>
      <c r="AL552" s="414"/>
      <c r="AM552" s="296">
        <f>SUM(Y552:AL552)</f>
        <v>0</v>
      </c>
    </row>
    <row r="553" spans="1:39" ht="15.5" outlineLevel="1">
      <c r="A553" s="526"/>
      <c r="B553" s="428"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760">
        <f>Y552</f>
        <v>0</v>
      </c>
      <c r="Z553" s="760">
        <f t="shared" si="1015" ref="Z553:AE553">Z552</f>
        <v>0</v>
      </c>
      <c r="AA553" s="760">
        <f t="shared" si="1015"/>
        <v>0</v>
      </c>
      <c r="AB553" s="760">
        <f t="shared" si="1015"/>
        <v>0</v>
      </c>
      <c r="AC553" s="760">
        <f t="shared" si="1015"/>
        <v>0</v>
      </c>
      <c r="AD553" s="760">
        <f t="shared" si="1015"/>
        <v>0</v>
      </c>
      <c r="AE553" s="760">
        <f t="shared" si="1015"/>
        <v>0</v>
      </c>
      <c r="AF553" s="410">
        <f t="shared" si="1016" ref="AF553">AF552</f>
        <v>0</v>
      </c>
      <c r="AG553" s="410">
        <f t="shared" si="1017" ref="AG553">AG552</f>
        <v>0</v>
      </c>
      <c r="AH553" s="410">
        <f t="shared" si="1018" ref="AH553">AH552</f>
        <v>0</v>
      </c>
      <c r="AI553" s="410">
        <f t="shared" si="1019" ref="AI553">AI552</f>
        <v>0</v>
      </c>
      <c r="AJ553" s="410">
        <f t="shared" si="1020" ref="AJ553">AJ552</f>
        <v>0</v>
      </c>
      <c r="AK553" s="410">
        <f t="shared" si="1021" ref="AK553">AK552</f>
        <v>0</v>
      </c>
      <c r="AL553" s="410">
        <f t="shared" si="1022" ref="AL553">AL552</f>
        <v>0</v>
      </c>
      <c r="AM553" s="306"/>
    </row>
    <row r="554" spans="1:39" ht="15.5" outlineLevel="1">
      <c r="A554" s="526"/>
      <c r="B554" s="425"/>
      <c r="C554" s="291"/>
      <c r="D554" s="750"/>
      <c r="E554" s="750"/>
      <c r="F554" s="750"/>
      <c r="G554" s="750"/>
      <c r="H554" s="750"/>
      <c r="I554" s="750"/>
      <c r="J554" s="750"/>
      <c r="K554" s="750"/>
      <c r="L554" s="750"/>
      <c r="M554" s="750"/>
      <c r="N554" s="750"/>
      <c r="O554" s="750"/>
      <c r="P554" s="750"/>
      <c r="Q554" s="750"/>
      <c r="R554" s="750"/>
      <c r="S554" s="750"/>
      <c r="T554" s="750"/>
      <c r="U554" s="750"/>
      <c r="V554" s="750"/>
      <c r="W554" s="750"/>
      <c r="X554" s="750"/>
      <c r="Y554" s="761"/>
      <c r="Z554" s="780"/>
      <c r="AA554" s="780"/>
      <c r="AB554" s="780"/>
      <c r="AC554" s="780"/>
      <c r="AD554" s="780"/>
      <c r="AE554" s="780"/>
      <c r="AF554" s="422"/>
      <c r="AG554" s="422"/>
      <c r="AH554" s="422"/>
      <c r="AI554" s="422"/>
      <c r="AJ554" s="422"/>
      <c r="AK554" s="422"/>
      <c r="AL554" s="422"/>
      <c r="AM554" s="306"/>
    </row>
    <row r="555" spans="1:39" ht="31" outlineLevel="1">
      <c r="A555" s="526">
        <v>48</v>
      </c>
      <c r="B555" s="425"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776"/>
      <c r="Z555" s="759"/>
      <c r="AA555" s="759"/>
      <c r="AB555" s="759"/>
      <c r="AC555" s="759"/>
      <c r="AD555" s="759"/>
      <c r="AE555" s="759"/>
      <c r="AF555" s="414"/>
      <c r="AG555" s="414"/>
      <c r="AH555" s="414"/>
      <c r="AI555" s="414"/>
      <c r="AJ555" s="414"/>
      <c r="AK555" s="414"/>
      <c r="AL555" s="414"/>
      <c r="AM555" s="296">
        <f>SUM(Y555:AL555)</f>
        <v>0</v>
      </c>
    </row>
    <row r="556" spans="1:39" ht="15.5" outlineLevel="1">
      <c r="A556" s="526"/>
      <c r="B556" s="428"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760">
        <f>Y555</f>
        <v>0</v>
      </c>
      <c r="Z556" s="760">
        <f t="shared" si="1023" ref="Z556:AE556">Z555</f>
        <v>0</v>
      </c>
      <c r="AA556" s="760">
        <f t="shared" si="1023"/>
        <v>0</v>
      </c>
      <c r="AB556" s="760">
        <f t="shared" si="1023"/>
        <v>0</v>
      </c>
      <c r="AC556" s="760">
        <f t="shared" si="1023"/>
        <v>0</v>
      </c>
      <c r="AD556" s="760">
        <f t="shared" si="1023"/>
        <v>0</v>
      </c>
      <c r="AE556" s="760">
        <f t="shared" si="1023"/>
        <v>0</v>
      </c>
      <c r="AF556" s="410">
        <f t="shared" si="1024" ref="AF556">AF555</f>
        <v>0</v>
      </c>
      <c r="AG556" s="410">
        <f t="shared" si="1025" ref="AG556">AG555</f>
        <v>0</v>
      </c>
      <c r="AH556" s="410">
        <f t="shared" si="1026" ref="AH556">AH555</f>
        <v>0</v>
      </c>
      <c r="AI556" s="410">
        <f t="shared" si="1027" ref="AI556">AI555</f>
        <v>0</v>
      </c>
      <c r="AJ556" s="410">
        <f t="shared" si="1028" ref="AJ556">AJ555</f>
        <v>0</v>
      </c>
      <c r="AK556" s="410">
        <f t="shared" si="1029" ref="AK556">AK555</f>
        <v>0</v>
      </c>
      <c r="AL556" s="410">
        <f t="shared" si="1030" ref="AL556">AL555</f>
        <v>0</v>
      </c>
      <c r="AM556" s="306"/>
    </row>
    <row r="557" spans="1:39" ht="15.5" outlineLevel="1">
      <c r="A557" s="526"/>
      <c r="B557" s="425"/>
      <c r="C557" s="291"/>
      <c r="D557" s="750"/>
      <c r="E557" s="750"/>
      <c r="F557" s="750"/>
      <c r="G557" s="750"/>
      <c r="H557" s="750"/>
      <c r="I557" s="750"/>
      <c r="J557" s="750"/>
      <c r="K557" s="750"/>
      <c r="L557" s="750"/>
      <c r="M557" s="750"/>
      <c r="N557" s="750"/>
      <c r="O557" s="750"/>
      <c r="P557" s="750"/>
      <c r="Q557" s="750"/>
      <c r="R557" s="750"/>
      <c r="S557" s="750"/>
      <c r="T557" s="750"/>
      <c r="U557" s="750"/>
      <c r="V557" s="750"/>
      <c r="W557" s="750"/>
      <c r="X557" s="750"/>
      <c r="Y557" s="761"/>
      <c r="Z557" s="780"/>
      <c r="AA557" s="780"/>
      <c r="AB557" s="780"/>
      <c r="AC557" s="780"/>
      <c r="AD557" s="780"/>
      <c r="AE557" s="780"/>
      <c r="AF557" s="422"/>
      <c r="AG557" s="422"/>
      <c r="AH557" s="422"/>
      <c r="AI557" s="422"/>
      <c r="AJ557" s="422"/>
      <c r="AK557" s="422"/>
      <c r="AL557" s="422"/>
      <c r="AM557" s="306"/>
    </row>
    <row r="558" spans="1:39" ht="31" outlineLevel="1">
      <c r="A558" s="526">
        <v>49</v>
      </c>
      <c r="B558" s="425"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776"/>
      <c r="Z558" s="759"/>
      <c r="AA558" s="759"/>
      <c r="AB558" s="759"/>
      <c r="AC558" s="759"/>
      <c r="AD558" s="759"/>
      <c r="AE558" s="759"/>
      <c r="AF558" s="414"/>
      <c r="AG558" s="414"/>
      <c r="AH558" s="414"/>
      <c r="AI558" s="414"/>
      <c r="AJ558" s="414"/>
      <c r="AK558" s="414"/>
      <c r="AL558" s="414"/>
      <c r="AM558" s="296">
        <f>SUM(Y558:AL558)</f>
        <v>0</v>
      </c>
    </row>
    <row r="559" spans="1:39" ht="15.5" outlineLevel="1">
      <c r="A559" s="526"/>
      <c r="B559" s="428"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760">
        <f>Y558</f>
        <v>0</v>
      </c>
      <c r="Z559" s="760">
        <f t="shared" si="1031" ref="Z559:AE559">Z558</f>
        <v>0</v>
      </c>
      <c r="AA559" s="760">
        <f t="shared" si="1031"/>
        <v>0</v>
      </c>
      <c r="AB559" s="760">
        <f t="shared" si="1031"/>
        <v>0</v>
      </c>
      <c r="AC559" s="760">
        <f t="shared" si="1031"/>
        <v>0</v>
      </c>
      <c r="AD559" s="760">
        <f t="shared" si="1031"/>
        <v>0</v>
      </c>
      <c r="AE559" s="760">
        <f t="shared" si="1031"/>
        <v>0</v>
      </c>
      <c r="AF559" s="410">
        <f t="shared" si="1032" ref="AF559">AF558</f>
        <v>0</v>
      </c>
      <c r="AG559" s="410">
        <f t="shared" si="1033" ref="AG559">AG558</f>
        <v>0</v>
      </c>
      <c r="AH559" s="410">
        <f t="shared" si="1034" ref="AH559">AH558</f>
        <v>0</v>
      </c>
      <c r="AI559" s="410">
        <f t="shared" si="1035" ref="AI559">AI558</f>
        <v>0</v>
      </c>
      <c r="AJ559" s="410">
        <f t="shared" si="1036" ref="AJ559">AJ558</f>
        <v>0</v>
      </c>
      <c r="AK559" s="410">
        <f t="shared" si="1037" ref="AK559">AK558</f>
        <v>0</v>
      </c>
      <c r="AL559" s="410">
        <f t="shared" si="1038" ref="AL559">AL558</f>
        <v>0</v>
      </c>
      <c r="AM559" s="306"/>
    </row>
    <row r="560" spans="1:39" ht="15.5" outlineLevel="1">
      <c r="A560" s="526"/>
      <c r="B560" s="428"/>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6" t="s">
        <v>292</v>
      </c>
      <c r="C561" s="328"/>
      <c r="D561" s="328">
        <f>SUM(D404:D559)</f>
        <v>9347930.4060834572</v>
      </c>
      <c r="E561" s="328"/>
      <c r="F561" s="328"/>
      <c r="G561" s="328"/>
      <c r="H561" s="328"/>
      <c r="I561" s="328"/>
      <c r="J561" s="328"/>
      <c r="K561" s="328"/>
      <c r="L561" s="328"/>
      <c r="M561" s="328"/>
      <c r="N561" s="328"/>
      <c r="O561" s="328">
        <f>SUM(O404:O559)</f>
        <v>1195.0555157278961</v>
      </c>
      <c r="P561" s="328"/>
      <c r="Q561" s="328"/>
      <c r="R561" s="328"/>
      <c r="S561" s="328"/>
      <c r="T561" s="328"/>
      <c r="U561" s="328"/>
      <c r="V561" s="328"/>
      <c r="W561" s="328"/>
      <c r="X561" s="328"/>
      <c r="Y561" s="328">
        <f>IF(Y402="kWh",SUMPRODUCT(D404:D559,Y404:Y559))</f>
        <v>6045036.6096975747</v>
      </c>
      <c r="Z561" s="328">
        <f>IF(Z402="kWh",SUMPRODUCT(D404:D559,Z404:Z559))</f>
        <v>1248824.1444135024</v>
      </c>
      <c r="AA561" s="328">
        <f>IF(AA402="kw",SUMPRODUCT(N404:N559,O404:O559,AA404:AA559),SUMPRODUCT(D404:D559,AA404:AA559))</f>
        <v>2844.4332418646181</v>
      </c>
      <c r="AB561" s="328">
        <f>IF(AB402="kw",SUMPRODUCT(N404:N559,O404:O559,AB404:AB559),SUMPRODUCT(D404:D559,AB404:AB559))</f>
        <v>2053.5689453173804</v>
      </c>
      <c r="AC561" s="328">
        <f>IF(AC402="kw",SUMPRODUCT(N404:N559,O404:O559,AC404:AC559),SUMPRODUCT(D404:D559,AC404:AC559))</f>
        <v>0</v>
      </c>
      <c r="AD561" s="328">
        <f>IF(AD402="kw",SUMPRODUCT(N404:N559,O404:O559,AD404:AD559),SUMPRODUCT(D404:D559,AD404:AD559))</f>
        <v>0</v>
      </c>
      <c r="AE561" s="328">
        <f>-'8.  Streetlighting'!G86</f>
        <v>135.48589200000023</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691161</v>
      </c>
      <c r="Z562" s="391">
        <f>HLOOKUP(Z218,'2. LRAMVA Threshold'!$B$42:$Q$53,9,FALSE)</f>
        <v>74889</v>
      </c>
      <c r="AA562" s="391">
        <f>HLOOKUP(AA218,'2. LRAMVA Threshold'!$B$42:$Q$53,9,FALSE)</f>
        <v>3272</v>
      </c>
      <c r="AB562" s="391">
        <f>HLOOKUP(AB218,'2. LRAMVA Threshold'!$B$42:$Q$53,9,FALSE)</f>
        <v>2873</v>
      </c>
      <c r="AC562" s="391">
        <f>HLOOKUP(AC218,'2. LRAMVA Threshold'!$B$42:$Q$53,9,FALSE)</f>
        <v>0</v>
      </c>
      <c r="AD562" s="391">
        <f>HLOOKUP(AD218,'2. LRAMVA Threshold'!$B$42:$Q$53,9,FALSE)</f>
        <v>0</v>
      </c>
      <c r="AE562" s="391">
        <f>HLOOKUP(AE218,'2. LRAMVA Threshold'!$B$42:$Q$53,9,FALSE)</f>
        <v>3777</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ht="15.5">
      <c r="B563" s="393"/>
      <c r="C563" s="429"/>
      <c r="D563" s="430"/>
      <c r="E563" s="430"/>
      <c r="F563" s="430"/>
      <c r="G563" s="430"/>
      <c r="H563" s="430"/>
      <c r="I563" s="430"/>
      <c r="J563" s="430"/>
      <c r="K563" s="430"/>
      <c r="L563" s="430"/>
      <c r="M563" s="430"/>
      <c r="N563" s="430"/>
      <c r="O563" s="431"/>
      <c r="P563" s="430"/>
      <c r="Q563" s="430"/>
      <c r="R563" s="430"/>
      <c r="S563" s="432"/>
      <c r="T563" s="432"/>
      <c r="U563" s="432"/>
      <c r="V563" s="432"/>
      <c r="W563" s="430"/>
      <c r="X563" s="430"/>
      <c r="Y563" s="433"/>
      <c r="Z563" s="433"/>
      <c r="AA563" s="433"/>
      <c r="AB563" s="433"/>
      <c r="AC563" s="433"/>
      <c r="AD563" s="433"/>
      <c r="AE563" s="433"/>
      <c r="AF563" s="398"/>
      <c r="AG563" s="398"/>
      <c r="AH563" s="398"/>
      <c r="AI563" s="398"/>
      <c r="AJ563" s="398"/>
      <c r="AK563" s="398"/>
      <c r="AL563" s="398"/>
      <c r="AM563" s="399"/>
    </row>
    <row r="564" spans="2:39" ht="15.5">
      <c r="B564" s="323" t="s">
        <v>294</v>
      </c>
      <c r="C564" s="337"/>
      <c r="D564" s="337"/>
      <c r="E564" s="375"/>
      <c r="F564" s="375"/>
      <c r="G564" s="375"/>
      <c r="H564" s="375"/>
      <c r="I564" s="375"/>
      <c r="J564" s="375"/>
      <c r="K564" s="375"/>
      <c r="L564" s="375"/>
      <c r="M564" s="375"/>
      <c r="N564" s="375"/>
      <c r="O564" s="291"/>
      <c r="P564" s="339"/>
      <c r="Q564" s="339"/>
      <c r="R564" s="339"/>
      <c r="S564" s="338"/>
      <c r="T564" s="338"/>
      <c r="U564" s="338"/>
      <c r="V564" s="338"/>
      <c r="W564" s="339"/>
      <c r="X564" s="339"/>
      <c r="Y564" s="340">
        <f>HLOOKUP(Y$35,'3.  Distribution Rates'!$C$122:$P$133,9,FALSE)</f>
        <v>0.0079000000000000008</v>
      </c>
      <c r="Z564" s="340">
        <f>HLOOKUP(Z$35,'3.  Distribution Rates'!$C$122:$P$133,9,FALSE)</f>
        <v>0.01</v>
      </c>
      <c r="AA564" s="340">
        <f>HLOOKUP(AA$35,'3.  Distribution Rates'!$C$122:$P$133,9,FALSE)</f>
        <v>3.7886000000000002</v>
      </c>
      <c r="AB564" s="340">
        <f>HLOOKUP(AB$35,'3.  Distribution Rates'!$C$122:$P$133,9,FALSE)</f>
        <v>3.4079999999999999</v>
      </c>
      <c r="AC564" s="340">
        <f>HLOOKUP(AC$35,'3.  Distribution Rates'!$C$122:$P$133,9,FALSE)</f>
        <v>0.0053</v>
      </c>
      <c r="AD564" s="340">
        <f>HLOOKUP(AD$35,'3.  Distribution Rates'!$C$122:$P$133,9,FALSE)</f>
        <v>35.258699999999997</v>
      </c>
      <c r="AE564" s="340">
        <f>HLOOKUP(AE$35,'3.  Distribution Rates'!$C$122:$P$133,9,FALSE)</f>
        <v>1.5244</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38"/>
    </row>
    <row r="565" spans="2:39" ht="15.5">
      <c r="B565" s="323" t="s">
        <v>295</v>
      </c>
      <c r="C565" s="344"/>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2">
        <f t="shared" si="1039" ref="AM565:AM571">SUM(Y565:AL565)</f>
        <v>0</v>
      </c>
    </row>
    <row r="566" spans="2:39" ht="15.5">
      <c r="B566" s="323" t="s">
        <v>296</v>
      </c>
      <c r="C566" s="344"/>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2">
        <f t="shared" si="1039"/>
        <v>0</v>
      </c>
    </row>
    <row r="567" spans="2:39" ht="15.5">
      <c r="B567" s="323" t="s">
        <v>297</v>
      </c>
      <c r="C567" s="344"/>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2">
        <f t="shared" si="1039"/>
        <v>0</v>
      </c>
    </row>
    <row r="568" spans="2:39" ht="15.5">
      <c r="B568" s="323" t="s">
        <v>298</v>
      </c>
      <c r="C568" s="344"/>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2">
        <f t="shared" si="1039"/>
        <v>0</v>
      </c>
    </row>
    <row r="569" spans="2:39" ht="15.5">
      <c r="B569" s="323" t="s">
        <v>299</v>
      </c>
      <c r="C569" s="344"/>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7">
        <f t="shared" si="1040" ref="Y569:AL569">Y209*Y564</f>
        <v>9613.2651000000005</v>
      </c>
      <c r="Z569" s="377">
        <f t="shared" si="1040"/>
        <v>15566.084550560558</v>
      </c>
      <c r="AA569" s="377">
        <f t="shared" si="1040"/>
        <v>8219.5815397536935</v>
      </c>
      <c r="AB569" s="377">
        <f>AB209*AB564</f>
        <v>7617.9043684029748</v>
      </c>
      <c r="AC569" s="377">
        <f t="shared" si="1040"/>
        <v>0</v>
      </c>
      <c r="AD569" s="377">
        <f t="shared" si="1040"/>
        <v>0</v>
      </c>
      <c r="AE569" s="377">
        <f t="shared" si="1040"/>
        <v>578.89094878080039</v>
      </c>
      <c r="AF569" s="377">
        <f t="shared" si="1040"/>
        <v>0</v>
      </c>
      <c r="AG569" s="377">
        <f t="shared" si="1040"/>
        <v>0</v>
      </c>
      <c r="AH569" s="377">
        <f t="shared" si="1040"/>
        <v>0</v>
      </c>
      <c r="AI569" s="377">
        <f t="shared" si="1040"/>
        <v>0</v>
      </c>
      <c r="AJ569" s="377">
        <f t="shared" si="1040"/>
        <v>0</v>
      </c>
      <c r="AK569" s="377">
        <f t="shared" si="1040"/>
        <v>0</v>
      </c>
      <c r="AL569" s="377">
        <f t="shared" si="1040"/>
        <v>0</v>
      </c>
      <c r="AM569" s="622">
        <f t="shared" si="1039"/>
        <v>41595.726507498024</v>
      </c>
    </row>
    <row r="570" spans="2:39" ht="15.5">
      <c r="B570" s="323" t="s">
        <v>300</v>
      </c>
      <c r="C570" s="344"/>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7">
        <f>Y392*Y564</f>
        <v>20507.768000000004</v>
      </c>
      <c r="Z570" s="377">
        <f>Z392*Z564</f>
        <v>3073.111427748051</v>
      </c>
      <c r="AA570" s="377">
        <f t="shared" si="1041" ref="AA570:AL570">AA392*AA564</f>
        <v>206.20341928669373</v>
      </c>
      <c r="AB570" s="377">
        <f>AB392*AB564</f>
        <v>931.60430088484077</v>
      </c>
      <c r="AC570" s="377">
        <f t="shared" si="1041"/>
        <v>0</v>
      </c>
      <c r="AD570" s="377">
        <f t="shared" si="1041"/>
        <v>0</v>
      </c>
      <c r="AE570" s="377">
        <f t="shared" si="1041"/>
        <v>5448.0865260671999</v>
      </c>
      <c r="AF570" s="377">
        <f t="shared" si="1041"/>
        <v>0</v>
      </c>
      <c r="AG570" s="377">
        <f t="shared" si="1041"/>
        <v>0</v>
      </c>
      <c r="AH570" s="377">
        <f t="shared" si="1041"/>
        <v>0</v>
      </c>
      <c r="AI570" s="377">
        <f t="shared" si="1041"/>
        <v>0</v>
      </c>
      <c r="AJ570" s="377">
        <f t="shared" si="1041"/>
        <v>0</v>
      </c>
      <c r="AK570" s="377">
        <f t="shared" si="1041"/>
        <v>0</v>
      </c>
      <c r="AL570" s="377">
        <f t="shared" si="1041"/>
        <v>0</v>
      </c>
      <c r="AM570" s="622">
        <f t="shared" si="1039"/>
        <v>30166.773673986787</v>
      </c>
    </row>
    <row r="571" spans="2:39" ht="15.5">
      <c r="B571" s="323" t="s">
        <v>301</v>
      </c>
      <c r="C571" s="344"/>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7">
        <f>Y561*Y564</f>
        <v>47755.789216610843</v>
      </c>
      <c r="Z571" s="377">
        <f t="shared" si="1042" ref="Z571:AL571">Z561*Z564</f>
        <v>12488.241444135025</v>
      </c>
      <c r="AA571" s="377">
        <f t="shared" si="1042"/>
        <v>10776.419780128294</v>
      </c>
      <c r="AB571" s="377">
        <f t="shared" si="1042"/>
        <v>6998.5629656416322</v>
      </c>
      <c r="AC571" s="377">
        <f t="shared" si="1042"/>
        <v>0</v>
      </c>
      <c r="AD571" s="377">
        <f t="shared" si="1042"/>
        <v>0</v>
      </c>
      <c r="AE571" s="377">
        <f t="shared" si="1042"/>
        <v>206.53469376480035</v>
      </c>
      <c r="AF571" s="377">
        <f t="shared" si="1042"/>
        <v>0</v>
      </c>
      <c r="AG571" s="377">
        <f t="shared" si="1042"/>
        <v>0</v>
      </c>
      <c r="AH571" s="377">
        <f t="shared" si="1042"/>
        <v>0</v>
      </c>
      <c r="AI571" s="377">
        <f t="shared" si="1042"/>
        <v>0</v>
      </c>
      <c r="AJ571" s="377">
        <f t="shared" si="1042"/>
        <v>0</v>
      </c>
      <c r="AK571" s="377">
        <f t="shared" si="1042"/>
        <v>0</v>
      </c>
      <c r="AL571" s="377">
        <f t="shared" si="1042"/>
        <v>0</v>
      </c>
      <c r="AM571" s="622">
        <f t="shared" si="1039"/>
        <v>78225.54810028059</v>
      </c>
    </row>
    <row r="572" spans="2:39" ht="15.5">
      <c r="B572" s="348" t="s">
        <v>302</v>
      </c>
      <c r="C572" s="344"/>
      <c r="D572" s="335"/>
      <c r="E572" s="333"/>
      <c r="F572" s="333"/>
      <c r="G572" s="333"/>
      <c r="H572" s="333"/>
      <c r="I572" s="333"/>
      <c r="J572" s="333"/>
      <c r="K572" s="333"/>
      <c r="L572" s="333"/>
      <c r="M572" s="333"/>
      <c r="N572" s="333"/>
      <c r="O572" s="300"/>
      <c r="P572" s="333"/>
      <c r="Q572" s="333"/>
      <c r="R572" s="333"/>
      <c r="S572" s="335"/>
      <c r="T572" s="335"/>
      <c r="U572" s="335"/>
      <c r="V572" s="335"/>
      <c r="W572" s="333"/>
      <c r="X572" s="333"/>
      <c r="Y572" s="345">
        <f>SUM(Y565:Y571)</f>
        <v>77876.822316610851</v>
      </c>
      <c r="Z572" s="345">
        <f>SUM(Z565:Z571)</f>
        <v>31127.437422443632</v>
      </c>
      <c r="AA572" s="345">
        <f t="shared" si="1043" ref="AA572:AE572">SUM(AA565:AA571)</f>
        <v>19202.204739168679</v>
      </c>
      <c r="AB572" s="345">
        <f t="shared" si="1043"/>
        <v>15548.071634929449</v>
      </c>
      <c r="AC572" s="345">
        <f t="shared" si="1043"/>
        <v>0</v>
      </c>
      <c r="AD572" s="345">
        <f>SUM(AD565:AD571)</f>
        <v>0</v>
      </c>
      <c r="AE572" s="345">
        <f t="shared" si="1043"/>
        <v>6233.5121686128005</v>
      </c>
      <c r="AF572" s="345">
        <f>SUM(AF565:AF571)</f>
        <v>0</v>
      </c>
      <c r="AG572" s="345">
        <f>SUM(AG565:AG571)</f>
        <v>0</v>
      </c>
      <c r="AH572" s="345">
        <f t="shared" si="1044" ref="AH572:AL572">SUM(AH565:AH571)</f>
        <v>0</v>
      </c>
      <c r="AI572" s="345">
        <f t="shared" si="1044"/>
        <v>0</v>
      </c>
      <c r="AJ572" s="345">
        <f>SUM(AJ565:AJ571)</f>
        <v>0</v>
      </c>
      <c r="AK572" s="345">
        <f t="shared" si="1044"/>
        <v>0</v>
      </c>
      <c r="AL572" s="345">
        <f t="shared" si="1044"/>
        <v>0</v>
      </c>
      <c r="AM572" s="406">
        <f>SUM(AM565:AM571)</f>
        <v>149988.0482817654</v>
      </c>
    </row>
    <row r="573" spans="2:39" ht="15.5">
      <c r="B573" s="348" t="s">
        <v>303</v>
      </c>
      <c r="C573" s="344"/>
      <c r="D573" s="349"/>
      <c r="E573" s="333"/>
      <c r="F573" s="333"/>
      <c r="G573" s="333"/>
      <c r="H573" s="333"/>
      <c r="I573" s="333"/>
      <c r="J573" s="333"/>
      <c r="K573" s="333"/>
      <c r="L573" s="333"/>
      <c r="M573" s="333"/>
      <c r="N573" s="333"/>
      <c r="O573" s="300"/>
      <c r="P573" s="333"/>
      <c r="Q573" s="333"/>
      <c r="R573" s="333"/>
      <c r="S573" s="335"/>
      <c r="T573" s="335"/>
      <c r="U573" s="335"/>
      <c r="V573" s="335"/>
      <c r="W573" s="333"/>
      <c r="X573" s="333"/>
      <c r="Y573" s="346">
        <f>Y562*Y564</f>
        <v>5460.1719000000003</v>
      </c>
      <c r="Z573" s="346">
        <f t="shared" si="1045" ref="Z573:AE573">Z562*Z564</f>
        <v>748.88999999999999</v>
      </c>
      <c r="AA573" s="346">
        <f t="shared" si="1045"/>
        <v>12396.299200000001</v>
      </c>
      <c r="AB573" s="346">
        <f t="shared" si="1045"/>
        <v>9791.1839999999993</v>
      </c>
      <c r="AC573" s="346">
        <f t="shared" si="1045"/>
        <v>0</v>
      </c>
      <c r="AD573" s="346">
        <f>AD562*AD564</f>
        <v>0</v>
      </c>
      <c r="AE573" s="346">
        <f t="shared" si="1045"/>
        <v>5757.6588000000002</v>
      </c>
      <c r="AF573" s="346">
        <f>AF562*AF564</f>
        <v>0</v>
      </c>
      <c r="AG573" s="346">
        <f t="shared" si="1046" ref="AG573:AL573">AG562*AG564</f>
        <v>0</v>
      </c>
      <c r="AH573" s="346">
        <f t="shared" si="1046"/>
        <v>0</v>
      </c>
      <c r="AI573" s="346">
        <f t="shared" si="1046"/>
        <v>0</v>
      </c>
      <c r="AJ573" s="346">
        <f>AJ562*AJ564</f>
        <v>0</v>
      </c>
      <c r="AK573" s="346">
        <f>AK562*AK564</f>
        <v>0</v>
      </c>
      <c r="AL573" s="346">
        <f t="shared" si="1046"/>
        <v>0</v>
      </c>
      <c r="AM573" s="406">
        <f>SUM(Y573:AL573)</f>
        <v>34154.2039</v>
      </c>
    </row>
    <row r="574" spans="2:39" ht="15.5">
      <c r="B574" s="348" t="s">
        <v>304</v>
      </c>
      <c r="C574" s="344"/>
      <c r="D574" s="349"/>
      <c r="E574" s="333"/>
      <c r="F574" s="333"/>
      <c r="G574" s="333"/>
      <c r="H574" s="333"/>
      <c r="I574" s="333"/>
      <c r="J574" s="333"/>
      <c r="K574" s="333"/>
      <c r="L574" s="333"/>
      <c r="M574" s="333"/>
      <c r="N574" s="333"/>
      <c r="O574" s="300"/>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115833.8443817654</v>
      </c>
    </row>
    <row r="575" spans="2:39" ht="15.5">
      <c r="B575" s="323"/>
      <c r="C575" s="349"/>
      <c r="D575" s="349"/>
      <c r="E575" s="333"/>
      <c r="F575" s="333"/>
      <c r="G575" s="333"/>
      <c r="H575" s="333"/>
      <c r="I575" s="333"/>
      <c r="J575" s="333"/>
      <c r="K575" s="333"/>
      <c r="L575" s="333"/>
      <c r="M575" s="333"/>
      <c r="N575" s="333"/>
      <c r="O575" s="300"/>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ht="15.5">
      <c r="B576" s="436" t="s">
        <v>305</v>
      </c>
      <c r="C576" s="304"/>
      <c r="D576" s="279"/>
      <c r="E576" s="279"/>
      <c r="F576" s="279"/>
      <c r="G576" s="279"/>
      <c r="H576" s="279"/>
      <c r="I576" s="279"/>
      <c r="J576" s="279"/>
      <c r="K576" s="279"/>
      <c r="L576" s="279"/>
      <c r="M576" s="279"/>
      <c r="N576" s="279"/>
      <c r="O576" s="356"/>
      <c r="P576" s="279"/>
      <c r="Q576" s="279"/>
      <c r="R576" s="279"/>
      <c r="S576" s="304"/>
      <c r="T576" s="309"/>
      <c r="U576" s="309"/>
      <c r="V576" s="279"/>
      <c r="W576" s="279"/>
      <c r="X576" s="309"/>
      <c r="Y576" s="291">
        <f>SUMPRODUCT(E404:E559,Y404:Y559)</f>
        <v>4783977.975729893</v>
      </c>
      <c r="Z576" s="291">
        <f>SUMPRODUCT(E404:E559,Z404:Z559)</f>
        <v>1234642.0655519241</v>
      </c>
      <c r="AA576" s="291">
        <f>IF(AA402="kw",SUMPRODUCT($N$404:$N$559,$P$404:$P$559,AA404:AA559),SUMPRODUCT($E$404:$E$559,AA404:AA559))</f>
        <v>2826.5766870070547</v>
      </c>
      <c r="AB576" s="291">
        <f>IF(AB402="kw",SUMPRODUCT($N$404:$N$559,$P$404:$P$559,AB404:AB559),SUMPRODUCT($E$404:$E$559,AB404:AB559))</f>
        <v>2040.6772149065057</v>
      </c>
      <c r="AC576" s="291">
        <f>IF(AC402="kw",SUMPRODUCT($N$404:$N$559,$P$404:$P$559,AC404:AC559),SUMPRODUCT($E$404:$E$559,AC404:AC559))</f>
        <v>0</v>
      </c>
      <c r="AD576" s="291">
        <f t="shared" si="1047" ref="AD576:AL576">IF(AD402="kw",SUMPRODUCT($N$404:$N$559,$P$404:$P$559,AD404:AD559),SUMPRODUCT($E$404:$E$559,AD404:AD559))</f>
        <v>0</v>
      </c>
      <c r="AE576" s="291">
        <f>'8.  Streetlighting'!G87</f>
        <v>228.27124800000027</v>
      </c>
      <c r="AF576" s="291">
        <f t="shared" si="1047"/>
        <v>0</v>
      </c>
      <c r="AG576" s="291">
        <f t="shared" si="1047"/>
        <v>0</v>
      </c>
      <c r="AH576" s="291">
        <f t="shared" si="1047"/>
        <v>0</v>
      </c>
      <c r="AI576" s="291">
        <f t="shared" si="1047"/>
        <v>0</v>
      </c>
      <c r="AJ576" s="291">
        <f t="shared" si="1047"/>
        <v>0</v>
      </c>
      <c r="AK576" s="291">
        <f t="shared" si="1047"/>
        <v>0</v>
      </c>
      <c r="AL576" s="291">
        <f t="shared" si="1047"/>
        <v>0</v>
      </c>
      <c r="AM576" s="336"/>
    </row>
    <row r="577" spans="2:39" ht="15.5">
      <c r="B577" s="436" t="s">
        <v>306</v>
      </c>
      <c r="C577" s="304"/>
      <c r="D577" s="279"/>
      <c r="E577" s="279"/>
      <c r="F577" s="279"/>
      <c r="G577" s="279"/>
      <c r="H577" s="279"/>
      <c r="I577" s="279"/>
      <c r="J577" s="279"/>
      <c r="K577" s="279"/>
      <c r="L577" s="279"/>
      <c r="M577" s="279"/>
      <c r="N577" s="279"/>
      <c r="O577" s="356"/>
      <c r="P577" s="279"/>
      <c r="Q577" s="279"/>
      <c r="R577" s="279"/>
      <c r="S577" s="304"/>
      <c r="T577" s="309"/>
      <c r="U577" s="309"/>
      <c r="V577" s="279"/>
      <c r="W577" s="279"/>
      <c r="X577" s="309"/>
      <c r="Y577" s="291">
        <f>SUMPRODUCT(F404:F559,Y404:Y559)</f>
        <v>4783965.3417622102</v>
      </c>
      <c r="Z577" s="291">
        <f>SUMPRODUCT(F404:F559,Z404:Z559)</f>
        <v>1234114.5400969819</v>
      </c>
      <c r="AA577" s="291">
        <f t="shared" si="1048" ref="AA577:AL577">IF(AA402="kw",SUMPRODUCT($N$404:$N$559,$Q$404:$Q$559,AA404:AA559),SUMPRODUCT($F$404:$F$559,AA404:AA559))</f>
        <v>2825.8183420421246</v>
      </c>
      <c r="AB577" s="291">
        <f t="shared" si="1048"/>
        <v>2040.1297196632011</v>
      </c>
      <c r="AC577" s="291">
        <f>IF(AC402="kw",SUMPRODUCT($N$404:$N$559,$Q$404:$Q$559,AC404:AC559),SUMPRODUCT($F$404:$F$559,AC404:AC559))</f>
        <v>0</v>
      </c>
      <c r="AD577" s="291">
        <f t="shared" si="1048"/>
        <v>0</v>
      </c>
      <c r="AE577" s="291">
        <f>'8.  Streetlighting'!G88</f>
        <v>228.27124800000027</v>
      </c>
      <c r="AF577" s="291">
        <f t="shared" si="1048"/>
        <v>0</v>
      </c>
      <c r="AG577" s="291">
        <f t="shared" si="1048"/>
        <v>0</v>
      </c>
      <c r="AH577" s="291">
        <f t="shared" si="1048"/>
        <v>0</v>
      </c>
      <c r="AI577" s="291">
        <f t="shared" si="1048"/>
        <v>0</v>
      </c>
      <c r="AJ577" s="291">
        <f t="shared" si="1048"/>
        <v>0</v>
      </c>
      <c r="AK577" s="291">
        <f t="shared" si="1048"/>
        <v>0</v>
      </c>
      <c r="AL577" s="291">
        <f t="shared" si="1048"/>
        <v>0</v>
      </c>
      <c r="AM577" s="336"/>
    </row>
    <row r="578" spans="2:39" ht="15.5">
      <c r="B578" s="437"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4728412</v>
      </c>
      <c r="Z578" s="325">
        <f>SUMPRODUCT(G404:G559,Z404:Z559)</f>
        <v>1233587.0146420398</v>
      </c>
      <c r="AA578" s="325">
        <f t="shared" si="1049" ref="AA578:AL578">IF(AA402="kw",SUMPRODUCT($N$404:$N$559,$R$404:$R$559,AA404:AA559),SUMPRODUCT($G$404:$G$559,AA404:AA559))</f>
        <v>2565.2543999999998</v>
      </c>
      <c r="AB578" s="325">
        <f t="shared" si="1049"/>
        <v>1852.0128</v>
      </c>
      <c r="AC578" s="325">
        <f>IF(AC402="kw",SUMPRODUCT($N$404:$N$559,$R$404:$R$559,AC404:AC559),SUMPRODUCT($G$404:$G$559,AC404:AC559))</f>
        <v>0</v>
      </c>
      <c r="AD578" s="325">
        <f t="shared" si="1049"/>
        <v>0</v>
      </c>
      <c r="AE578" s="325">
        <f>'8.  Streetlighting'!G89</f>
        <v>228.27124800000027</v>
      </c>
      <c r="AF578" s="325">
        <f t="shared" si="1049"/>
        <v>0</v>
      </c>
      <c r="AG578" s="325">
        <f t="shared" si="1049"/>
        <v>0</v>
      </c>
      <c r="AH578" s="325">
        <f t="shared" si="1049"/>
        <v>0</v>
      </c>
      <c r="AI578" s="325">
        <f t="shared" si="1049"/>
        <v>0</v>
      </c>
      <c r="AJ578" s="325">
        <f t="shared" si="1049"/>
        <v>0</v>
      </c>
      <c r="AK578" s="325">
        <f t="shared" si="1049"/>
        <v>0</v>
      </c>
      <c r="AL578" s="325">
        <f t="shared" si="1049"/>
        <v>0</v>
      </c>
      <c r="AM578" s="385"/>
    </row>
    <row r="579" spans="2:39" ht="22.5" customHeight="1">
      <c r="B579" s="367" t="s">
        <v>586</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2:38" ht="15.5">
      <c r="B582" s="280" t="s">
        <v>309</v>
      </c>
      <c r="C582" s="281"/>
      <c r="D582" s="583" t="s">
        <v>525</v>
      </c>
      <c r="E582" s="253"/>
      <c r="F582" s="583"/>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2:39" ht="33.75" customHeight="1">
      <c r="B583" s="902" t="s">
        <v>211</v>
      </c>
      <c r="C583" s="904" t="s">
        <v>33</v>
      </c>
      <c r="D583" s="284" t="s">
        <v>421</v>
      </c>
      <c r="E583" s="906" t="s">
        <v>209</v>
      </c>
      <c r="F583" s="907"/>
      <c r="G583" s="907"/>
      <c r="H583" s="907"/>
      <c r="I583" s="907"/>
      <c r="J583" s="907"/>
      <c r="K583" s="907"/>
      <c r="L583" s="907"/>
      <c r="M583" s="908"/>
      <c r="N583" s="909" t="s">
        <v>213</v>
      </c>
      <c r="O583" s="284" t="s">
        <v>422</v>
      </c>
      <c r="P583" s="906" t="s">
        <v>212</v>
      </c>
      <c r="Q583" s="907"/>
      <c r="R583" s="907"/>
      <c r="S583" s="907"/>
      <c r="T583" s="907"/>
      <c r="U583" s="907"/>
      <c r="V583" s="907"/>
      <c r="W583" s="907"/>
      <c r="X583" s="908"/>
      <c r="Y583" s="899" t="s">
        <v>243</v>
      </c>
      <c r="Z583" s="900"/>
      <c r="AA583" s="900"/>
      <c r="AB583" s="900"/>
      <c r="AC583" s="900"/>
      <c r="AD583" s="900"/>
      <c r="AE583" s="900"/>
      <c r="AF583" s="900"/>
      <c r="AG583" s="900"/>
      <c r="AH583" s="900"/>
      <c r="AI583" s="900"/>
      <c r="AJ583" s="900"/>
      <c r="AK583" s="900"/>
      <c r="AL583" s="900"/>
      <c r="AM583" s="901"/>
    </row>
    <row r="584" spans="2:39" ht="68.25" customHeight="1">
      <c r="B584" s="903"/>
      <c r="C584" s="905"/>
      <c r="D584" s="285">
        <v>2018</v>
      </c>
      <c r="E584" s="285">
        <v>2019</v>
      </c>
      <c r="F584" s="285">
        <v>2020</v>
      </c>
      <c r="G584" s="285">
        <v>2021</v>
      </c>
      <c r="H584" s="285">
        <v>2022</v>
      </c>
      <c r="I584" s="285">
        <v>2023</v>
      </c>
      <c r="J584" s="285">
        <v>2024</v>
      </c>
      <c r="K584" s="285">
        <v>2025</v>
      </c>
      <c r="L584" s="285">
        <v>2026</v>
      </c>
      <c r="M584" s="285">
        <v>2027</v>
      </c>
      <c r="N584" s="91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50 - 999 kW</v>
      </c>
      <c r="AB584" s="285" t="str">
        <f>'1.  LRAMVA Summary'!G52</f>
        <v>GS 1,000 - 4,999 kW</v>
      </c>
      <c r="AC584" s="285" t="str">
        <f>'1.  LRAMVA Summary'!H52</f>
        <v>USL</v>
      </c>
      <c r="AD584" s="285" t="str">
        <f>'1.  LRAMVA Summary'!I52</f>
        <v>Sentinel Lighting</v>
      </c>
      <c r="AE584" s="285" t="str">
        <f>'1.  LRAMVA Summary'!J52</f>
        <v>Street Lighting</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6"/>
      <c r="B585" s="512"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26"/>
      <c r="B586" s="498"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26">
        <v>1</v>
      </c>
      <c r="B587" s="425" t="s">
        <v>95</v>
      </c>
      <c r="C587" s="291" t="s">
        <v>25</v>
      </c>
      <c r="D587" s="295"/>
      <c r="E587" s="295"/>
      <c r="F587" s="295"/>
      <c r="G587" s="295"/>
      <c r="H587" s="295"/>
      <c r="I587" s="295"/>
      <c r="J587" s="295"/>
      <c r="K587" s="295"/>
      <c r="L587" s="295"/>
      <c r="M587" s="295"/>
      <c r="N587" s="750"/>
      <c r="O587" s="295"/>
      <c r="P587" s="295"/>
      <c r="Q587" s="295"/>
      <c r="R587" s="295"/>
      <c r="S587" s="295"/>
      <c r="T587" s="295"/>
      <c r="U587" s="295"/>
      <c r="V587" s="295"/>
      <c r="W587" s="295"/>
      <c r="X587" s="295"/>
      <c r="Y587" s="759"/>
      <c r="Z587" s="759"/>
      <c r="AA587" s="759"/>
      <c r="AB587" s="759"/>
      <c r="AC587" s="759"/>
      <c r="AD587" s="759"/>
      <c r="AE587" s="759"/>
      <c r="AF587" s="409"/>
      <c r="AG587" s="409"/>
      <c r="AH587" s="409"/>
      <c r="AI587" s="409"/>
      <c r="AJ587" s="409"/>
      <c r="AK587" s="409"/>
      <c r="AL587" s="409"/>
      <c r="AM587" s="296">
        <f>SUM(Y587:AL587)</f>
        <v>0</v>
      </c>
    </row>
    <row r="588" spans="1:39" ht="15.5" outlineLevel="1">
      <c r="A588" s="526"/>
      <c r="B588" s="294" t="s">
        <v>310</v>
      </c>
      <c r="C588" s="291" t="s">
        <v>163</v>
      </c>
      <c r="D588" s="295"/>
      <c r="E588" s="295"/>
      <c r="F588" s="295"/>
      <c r="G588" s="295"/>
      <c r="H588" s="295"/>
      <c r="I588" s="295"/>
      <c r="J588" s="295"/>
      <c r="K588" s="295"/>
      <c r="L588" s="295"/>
      <c r="M588" s="295"/>
      <c r="N588" s="751"/>
      <c r="O588" s="295"/>
      <c r="P588" s="295"/>
      <c r="Q588" s="295"/>
      <c r="R588" s="295"/>
      <c r="S588" s="295"/>
      <c r="T588" s="295"/>
      <c r="U588" s="295"/>
      <c r="V588" s="295"/>
      <c r="W588" s="295"/>
      <c r="X588" s="295"/>
      <c r="Y588" s="760">
        <f>Y587</f>
        <v>0</v>
      </c>
      <c r="Z588" s="760">
        <f t="shared" si="1050" ref="Z588:AE588">Z587</f>
        <v>0</v>
      </c>
      <c r="AA588" s="760">
        <f t="shared" si="1050"/>
        <v>0</v>
      </c>
      <c r="AB588" s="760">
        <f t="shared" si="1050"/>
        <v>0</v>
      </c>
      <c r="AC588" s="760">
        <f t="shared" si="1050"/>
        <v>0</v>
      </c>
      <c r="AD588" s="760">
        <f t="shared" si="1050"/>
        <v>0</v>
      </c>
      <c r="AE588" s="760">
        <f t="shared" si="1050"/>
        <v>0</v>
      </c>
      <c r="AF588" s="410">
        <f t="shared" si="1051" ref="AF588">AF587</f>
        <v>0</v>
      </c>
      <c r="AG588" s="410">
        <f t="shared" si="1052" ref="AG588">AG587</f>
        <v>0</v>
      </c>
      <c r="AH588" s="410">
        <f t="shared" si="1053" ref="AH588">AH587</f>
        <v>0</v>
      </c>
      <c r="AI588" s="410">
        <f t="shared" si="1054" ref="AI588">AI587</f>
        <v>0</v>
      </c>
      <c r="AJ588" s="410">
        <f t="shared" si="1055" ref="AJ588">AJ587</f>
        <v>0</v>
      </c>
      <c r="AK588" s="410">
        <f t="shared" si="1056" ref="AK588">AK587</f>
        <v>0</v>
      </c>
      <c r="AL588" s="410">
        <f t="shared" si="1057" ref="AL588">AL587</f>
        <v>0</v>
      </c>
      <c r="AM588" s="297"/>
    </row>
    <row r="589" spans="1:39" ht="15.5" outlineLevel="1">
      <c r="A589" s="526"/>
      <c r="B589" s="298"/>
      <c r="C589" s="299"/>
      <c r="D589" s="752"/>
      <c r="E589" s="752"/>
      <c r="F589" s="752"/>
      <c r="G589" s="752"/>
      <c r="H589" s="752"/>
      <c r="I589" s="752"/>
      <c r="J589" s="752"/>
      <c r="K589" s="752"/>
      <c r="L589" s="752"/>
      <c r="M589" s="752"/>
      <c r="N589" s="758"/>
      <c r="O589" s="752"/>
      <c r="P589" s="752"/>
      <c r="Q589" s="752"/>
      <c r="R589" s="752"/>
      <c r="S589" s="752"/>
      <c r="T589" s="752"/>
      <c r="U589" s="752"/>
      <c r="V589" s="752"/>
      <c r="W589" s="752"/>
      <c r="X589" s="752"/>
      <c r="Y589" s="761"/>
      <c r="Z589" s="762"/>
      <c r="AA589" s="762"/>
      <c r="AB589" s="762"/>
      <c r="AC589" s="762"/>
      <c r="AD589" s="762"/>
      <c r="AE589" s="762"/>
      <c r="AF589" s="412"/>
      <c r="AG589" s="412"/>
      <c r="AH589" s="412"/>
      <c r="AI589" s="412"/>
      <c r="AJ589" s="412"/>
      <c r="AK589" s="412"/>
      <c r="AL589" s="412"/>
      <c r="AM589" s="302"/>
    </row>
    <row r="590" spans="1:39" ht="15.5" outlineLevel="1">
      <c r="A590" s="526">
        <v>2</v>
      </c>
      <c r="B590" s="425" t="s">
        <v>96</v>
      </c>
      <c r="C590" s="291" t="s">
        <v>25</v>
      </c>
      <c r="D590" s="295"/>
      <c r="E590" s="295"/>
      <c r="F590" s="295"/>
      <c r="G590" s="295"/>
      <c r="H590" s="295"/>
      <c r="I590" s="295"/>
      <c r="J590" s="295"/>
      <c r="K590" s="295"/>
      <c r="L590" s="295"/>
      <c r="M590" s="295"/>
      <c r="N590" s="750"/>
      <c r="O590" s="295"/>
      <c r="P590" s="295"/>
      <c r="Q590" s="295"/>
      <c r="R590" s="295"/>
      <c r="S590" s="295"/>
      <c r="T590" s="295"/>
      <c r="U590" s="295"/>
      <c r="V590" s="295"/>
      <c r="W590" s="295"/>
      <c r="X590" s="295"/>
      <c r="Y590" s="759"/>
      <c r="Z590" s="759"/>
      <c r="AA590" s="759"/>
      <c r="AB590" s="759"/>
      <c r="AC590" s="759"/>
      <c r="AD590" s="759"/>
      <c r="AE590" s="759"/>
      <c r="AF590" s="409"/>
      <c r="AG590" s="409"/>
      <c r="AH590" s="409"/>
      <c r="AI590" s="409"/>
      <c r="AJ590" s="409"/>
      <c r="AK590" s="409"/>
      <c r="AL590" s="409"/>
      <c r="AM590" s="296">
        <f>SUM(Y590:AL590)</f>
        <v>0</v>
      </c>
    </row>
    <row r="591" spans="1:39" ht="15.5" outlineLevel="1">
      <c r="A591" s="526"/>
      <c r="B591" s="294" t="s">
        <v>310</v>
      </c>
      <c r="C591" s="291" t="s">
        <v>163</v>
      </c>
      <c r="D591" s="295"/>
      <c r="E591" s="295"/>
      <c r="F591" s="295"/>
      <c r="G591" s="295"/>
      <c r="H591" s="295"/>
      <c r="I591" s="295"/>
      <c r="J591" s="295"/>
      <c r="K591" s="295"/>
      <c r="L591" s="295"/>
      <c r="M591" s="295"/>
      <c r="N591" s="751"/>
      <c r="O591" s="295"/>
      <c r="P591" s="295"/>
      <c r="Q591" s="295"/>
      <c r="R591" s="295"/>
      <c r="S591" s="295"/>
      <c r="T591" s="295"/>
      <c r="U591" s="295"/>
      <c r="V591" s="295"/>
      <c r="W591" s="295"/>
      <c r="X591" s="295"/>
      <c r="Y591" s="760">
        <f>Y590</f>
        <v>0</v>
      </c>
      <c r="Z591" s="760">
        <f t="shared" si="1058" ref="Z591:AE591">Z590</f>
        <v>0</v>
      </c>
      <c r="AA591" s="760">
        <f t="shared" si="1058"/>
        <v>0</v>
      </c>
      <c r="AB591" s="760">
        <f t="shared" si="1058"/>
        <v>0</v>
      </c>
      <c r="AC591" s="760">
        <f t="shared" si="1058"/>
        <v>0</v>
      </c>
      <c r="AD591" s="760">
        <f t="shared" si="1058"/>
        <v>0</v>
      </c>
      <c r="AE591" s="760">
        <f t="shared" si="1058"/>
        <v>0</v>
      </c>
      <c r="AF591" s="410">
        <f t="shared" si="1059" ref="AF591">AF590</f>
        <v>0</v>
      </c>
      <c r="AG591" s="410">
        <f t="shared" si="1060" ref="AG591">AG590</f>
        <v>0</v>
      </c>
      <c r="AH591" s="410">
        <f t="shared" si="1061" ref="AH591">AH590</f>
        <v>0</v>
      </c>
      <c r="AI591" s="410">
        <f t="shared" si="1062" ref="AI591">AI590</f>
        <v>0</v>
      </c>
      <c r="AJ591" s="410">
        <f t="shared" si="1063" ref="AJ591">AJ590</f>
        <v>0</v>
      </c>
      <c r="AK591" s="410">
        <f t="shared" si="1064" ref="AK591">AK590</f>
        <v>0</v>
      </c>
      <c r="AL591" s="410">
        <f t="shared" si="1065" ref="AL591">AL590</f>
        <v>0</v>
      </c>
      <c r="AM591" s="297"/>
    </row>
    <row r="592" spans="1:39" ht="15.5" outlineLevel="1">
      <c r="A592" s="526"/>
      <c r="B592" s="298"/>
      <c r="C592" s="299"/>
      <c r="D592" s="753"/>
      <c r="E592" s="753"/>
      <c r="F592" s="753"/>
      <c r="G592" s="753"/>
      <c r="H592" s="753"/>
      <c r="I592" s="753"/>
      <c r="J592" s="753"/>
      <c r="K592" s="753"/>
      <c r="L592" s="753"/>
      <c r="M592" s="753"/>
      <c r="N592" s="758"/>
      <c r="O592" s="753"/>
      <c r="P592" s="753"/>
      <c r="Q592" s="753"/>
      <c r="R592" s="753"/>
      <c r="S592" s="753"/>
      <c r="T592" s="753"/>
      <c r="U592" s="753"/>
      <c r="V592" s="753"/>
      <c r="W592" s="753"/>
      <c r="X592" s="753"/>
      <c r="Y592" s="761"/>
      <c r="Z592" s="762"/>
      <c r="AA592" s="762"/>
      <c r="AB592" s="762"/>
      <c r="AC592" s="762"/>
      <c r="AD592" s="762"/>
      <c r="AE592" s="762"/>
      <c r="AF592" s="412"/>
      <c r="AG592" s="412"/>
      <c r="AH592" s="412"/>
      <c r="AI592" s="412"/>
      <c r="AJ592" s="412"/>
      <c r="AK592" s="412"/>
      <c r="AL592" s="412"/>
      <c r="AM592" s="302"/>
    </row>
    <row r="593" spans="1:39" ht="15.5" outlineLevel="1">
      <c r="A593" s="526">
        <v>3</v>
      </c>
      <c r="B593" s="425" t="s">
        <v>97</v>
      </c>
      <c r="C593" s="291" t="s">
        <v>25</v>
      </c>
      <c r="D593" s="295"/>
      <c r="E593" s="295"/>
      <c r="F593" s="295"/>
      <c r="G593" s="295"/>
      <c r="H593" s="295"/>
      <c r="I593" s="295"/>
      <c r="J593" s="295"/>
      <c r="K593" s="295"/>
      <c r="L593" s="295"/>
      <c r="M593" s="295"/>
      <c r="N593" s="750"/>
      <c r="O593" s="295"/>
      <c r="P593" s="295"/>
      <c r="Q593" s="295"/>
      <c r="R593" s="295"/>
      <c r="S593" s="295"/>
      <c r="T593" s="295"/>
      <c r="U593" s="295"/>
      <c r="V593" s="295"/>
      <c r="W593" s="295"/>
      <c r="X593" s="295"/>
      <c r="Y593" s="759"/>
      <c r="Z593" s="759"/>
      <c r="AA593" s="759"/>
      <c r="AB593" s="759"/>
      <c r="AC593" s="759"/>
      <c r="AD593" s="759"/>
      <c r="AE593" s="759"/>
      <c r="AF593" s="409"/>
      <c r="AG593" s="409"/>
      <c r="AH593" s="409"/>
      <c r="AI593" s="409"/>
      <c r="AJ593" s="409"/>
      <c r="AK593" s="409"/>
      <c r="AL593" s="409"/>
      <c r="AM593" s="296">
        <f>SUM(Y593:AL593)</f>
        <v>0</v>
      </c>
    </row>
    <row r="594" spans="1:39" ht="15.5" outlineLevel="1">
      <c r="A594" s="526"/>
      <c r="B594" s="294" t="s">
        <v>310</v>
      </c>
      <c r="C594" s="291" t="s">
        <v>163</v>
      </c>
      <c r="D594" s="295"/>
      <c r="E594" s="295"/>
      <c r="F594" s="295"/>
      <c r="G594" s="295"/>
      <c r="H594" s="295"/>
      <c r="I594" s="295"/>
      <c r="J594" s="295"/>
      <c r="K594" s="295"/>
      <c r="L594" s="295"/>
      <c r="M594" s="295"/>
      <c r="N594" s="751"/>
      <c r="O594" s="295"/>
      <c r="P594" s="295"/>
      <c r="Q594" s="295"/>
      <c r="R594" s="295"/>
      <c r="S594" s="295"/>
      <c r="T594" s="295"/>
      <c r="U594" s="295"/>
      <c r="V594" s="295"/>
      <c r="W594" s="295"/>
      <c r="X594" s="295"/>
      <c r="Y594" s="760">
        <f>Y593</f>
        <v>0</v>
      </c>
      <c r="Z594" s="760">
        <f t="shared" si="1066" ref="Z594:AE594">Z593</f>
        <v>0</v>
      </c>
      <c r="AA594" s="760">
        <f t="shared" si="1066"/>
        <v>0</v>
      </c>
      <c r="AB594" s="760">
        <f t="shared" si="1066"/>
        <v>0</v>
      </c>
      <c r="AC594" s="760">
        <f t="shared" si="1066"/>
        <v>0</v>
      </c>
      <c r="AD594" s="760">
        <f t="shared" si="1066"/>
        <v>0</v>
      </c>
      <c r="AE594" s="760">
        <f t="shared" si="1066"/>
        <v>0</v>
      </c>
      <c r="AF594" s="410">
        <f t="shared" si="1067" ref="AF594">AF593</f>
        <v>0</v>
      </c>
      <c r="AG594" s="410">
        <f t="shared" si="1068" ref="AG594">AG593</f>
        <v>0</v>
      </c>
      <c r="AH594" s="410">
        <f t="shared" si="1069" ref="AH594">AH593</f>
        <v>0</v>
      </c>
      <c r="AI594" s="410">
        <f t="shared" si="1070" ref="AI594">AI593</f>
        <v>0</v>
      </c>
      <c r="AJ594" s="410">
        <f t="shared" si="1071" ref="AJ594">AJ593</f>
        <v>0</v>
      </c>
      <c r="AK594" s="410">
        <f t="shared" si="1072" ref="AK594">AK593</f>
        <v>0</v>
      </c>
      <c r="AL594" s="410">
        <f t="shared" si="1073" ref="AL594">AL593</f>
        <v>0</v>
      </c>
      <c r="AM594" s="297"/>
    </row>
    <row r="595" spans="1:39" ht="15.5" outlineLevel="1">
      <c r="A595" s="526"/>
      <c r="B595" s="294"/>
      <c r="C595" s="305"/>
      <c r="D595" s="750"/>
      <c r="E595" s="750"/>
      <c r="F595" s="750"/>
      <c r="G595" s="750"/>
      <c r="H595" s="750"/>
      <c r="I595" s="750"/>
      <c r="J595" s="750"/>
      <c r="K595" s="750"/>
      <c r="L595" s="750"/>
      <c r="M595" s="750"/>
      <c r="N595" s="750"/>
      <c r="O595" s="750"/>
      <c r="P595" s="750"/>
      <c r="Q595" s="750"/>
      <c r="R595" s="750"/>
      <c r="S595" s="750"/>
      <c r="T595" s="750"/>
      <c r="U595" s="750"/>
      <c r="V595" s="750"/>
      <c r="W595" s="750"/>
      <c r="X595" s="750"/>
      <c r="Y595" s="761"/>
      <c r="Z595" s="761"/>
      <c r="AA595" s="761"/>
      <c r="AB595" s="761"/>
      <c r="AC595" s="761"/>
      <c r="AD595" s="761"/>
      <c r="AE595" s="761"/>
      <c r="AF595" s="411"/>
      <c r="AG595" s="411"/>
      <c r="AH595" s="411"/>
      <c r="AI595" s="411"/>
      <c r="AJ595" s="411"/>
      <c r="AK595" s="411"/>
      <c r="AL595" s="411"/>
      <c r="AM595" s="306"/>
    </row>
    <row r="596" spans="1:39" ht="15.5" outlineLevel="1">
      <c r="A596" s="526">
        <v>4</v>
      </c>
      <c r="B596" s="514" t="s">
        <v>676</v>
      </c>
      <c r="C596" s="291" t="s">
        <v>25</v>
      </c>
      <c r="D596" s="295"/>
      <c r="E596" s="295"/>
      <c r="F596" s="295"/>
      <c r="G596" s="295"/>
      <c r="H596" s="295"/>
      <c r="I596" s="295"/>
      <c r="J596" s="295"/>
      <c r="K596" s="295"/>
      <c r="L596" s="295"/>
      <c r="M596" s="295"/>
      <c r="N596" s="750"/>
      <c r="O596" s="295"/>
      <c r="P596" s="295"/>
      <c r="Q596" s="295"/>
      <c r="R596" s="295"/>
      <c r="S596" s="295"/>
      <c r="T596" s="295"/>
      <c r="U596" s="295"/>
      <c r="V596" s="295"/>
      <c r="W596" s="295"/>
      <c r="X596" s="295"/>
      <c r="Y596" s="759"/>
      <c r="Z596" s="759"/>
      <c r="AA596" s="759"/>
      <c r="AB596" s="759"/>
      <c r="AC596" s="759"/>
      <c r="AD596" s="759"/>
      <c r="AE596" s="759"/>
      <c r="AF596" s="409"/>
      <c r="AG596" s="409"/>
      <c r="AH596" s="409"/>
      <c r="AI596" s="409"/>
      <c r="AJ596" s="409"/>
      <c r="AK596" s="409"/>
      <c r="AL596" s="409"/>
      <c r="AM596" s="296">
        <f>SUM(Y596:AL596)</f>
        <v>0</v>
      </c>
    </row>
    <row r="597" spans="1:39" ht="15.5" outlineLevel="1">
      <c r="A597" s="526"/>
      <c r="B597" s="294" t="s">
        <v>310</v>
      </c>
      <c r="C597" s="291" t="s">
        <v>163</v>
      </c>
      <c r="D597" s="295"/>
      <c r="E597" s="295"/>
      <c r="F597" s="295"/>
      <c r="G597" s="295"/>
      <c r="H597" s="295"/>
      <c r="I597" s="295"/>
      <c r="J597" s="295"/>
      <c r="K597" s="295"/>
      <c r="L597" s="295"/>
      <c r="M597" s="295"/>
      <c r="N597" s="751"/>
      <c r="O597" s="295"/>
      <c r="P597" s="295"/>
      <c r="Q597" s="295"/>
      <c r="R597" s="295"/>
      <c r="S597" s="295"/>
      <c r="T597" s="295"/>
      <c r="U597" s="295"/>
      <c r="V597" s="295"/>
      <c r="W597" s="295"/>
      <c r="X597" s="295"/>
      <c r="Y597" s="760">
        <f>Y596</f>
        <v>0</v>
      </c>
      <c r="Z597" s="760">
        <f t="shared" si="1074" ref="Z597:AE597">Z596</f>
        <v>0</v>
      </c>
      <c r="AA597" s="760">
        <f t="shared" si="1074"/>
        <v>0</v>
      </c>
      <c r="AB597" s="760">
        <f t="shared" si="1074"/>
        <v>0</v>
      </c>
      <c r="AC597" s="760">
        <f t="shared" si="1074"/>
        <v>0</v>
      </c>
      <c r="AD597" s="760">
        <f t="shared" si="1074"/>
        <v>0</v>
      </c>
      <c r="AE597" s="760">
        <f t="shared" si="1074"/>
        <v>0</v>
      </c>
      <c r="AF597" s="410">
        <f t="shared" si="1075" ref="AF597">AF596</f>
        <v>0</v>
      </c>
      <c r="AG597" s="410">
        <f t="shared" si="1076" ref="AG597">AG596</f>
        <v>0</v>
      </c>
      <c r="AH597" s="410">
        <f t="shared" si="1077" ref="AH597">AH596</f>
        <v>0</v>
      </c>
      <c r="AI597" s="410">
        <f t="shared" si="1078" ref="AI597">AI596</f>
        <v>0</v>
      </c>
      <c r="AJ597" s="410">
        <f t="shared" si="1079" ref="AJ597">AJ596</f>
        <v>0</v>
      </c>
      <c r="AK597" s="410">
        <f t="shared" si="1080" ref="AK597">AK596</f>
        <v>0</v>
      </c>
      <c r="AL597" s="410">
        <f t="shared" si="1081" ref="AL597">AL596</f>
        <v>0</v>
      </c>
      <c r="AM597" s="297"/>
    </row>
    <row r="598" spans="1:39" ht="15.5" outlineLevel="1">
      <c r="A598" s="526"/>
      <c r="B598" s="294"/>
      <c r="C598" s="305"/>
      <c r="D598" s="753"/>
      <c r="E598" s="753"/>
      <c r="F598" s="753"/>
      <c r="G598" s="753"/>
      <c r="H598" s="753"/>
      <c r="I598" s="753"/>
      <c r="J598" s="753"/>
      <c r="K598" s="753"/>
      <c r="L598" s="753"/>
      <c r="M598" s="753"/>
      <c r="N598" s="750"/>
      <c r="O598" s="753"/>
      <c r="P598" s="753"/>
      <c r="Q598" s="753"/>
      <c r="R598" s="753"/>
      <c r="S598" s="753"/>
      <c r="T598" s="753"/>
      <c r="U598" s="753"/>
      <c r="V598" s="753"/>
      <c r="W598" s="753"/>
      <c r="X598" s="753"/>
      <c r="Y598" s="761"/>
      <c r="Z598" s="761"/>
      <c r="AA598" s="761"/>
      <c r="AB598" s="761"/>
      <c r="AC598" s="761"/>
      <c r="AD598" s="761"/>
      <c r="AE598" s="761"/>
      <c r="AF598" s="411"/>
      <c r="AG598" s="411"/>
      <c r="AH598" s="411"/>
      <c r="AI598" s="411"/>
      <c r="AJ598" s="411"/>
      <c r="AK598" s="411"/>
      <c r="AL598" s="411"/>
      <c r="AM598" s="306"/>
    </row>
    <row r="599" spans="1:39" ht="15.75" customHeight="1" outlineLevel="1">
      <c r="A599" s="526">
        <v>5</v>
      </c>
      <c r="B599" s="425" t="s">
        <v>98</v>
      </c>
      <c r="C599" s="291" t="s">
        <v>25</v>
      </c>
      <c r="D599" s="295"/>
      <c r="E599" s="295"/>
      <c r="F599" s="295"/>
      <c r="G599" s="295"/>
      <c r="H599" s="295"/>
      <c r="I599" s="295"/>
      <c r="J599" s="295"/>
      <c r="K599" s="295"/>
      <c r="L599" s="295"/>
      <c r="M599" s="295"/>
      <c r="N599" s="750"/>
      <c r="O599" s="295"/>
      <c r="P599" s="295"/>
      <c r="Q599" s="295"/>
      <c r="R599" s="295"/>
      <c r="S599" s="295"/>
      <c r="T599" s="295"/>
      <c r="U599" s="295"/>
      <c r="V599" s="295"/>
      <c r="W599" s="295"/>
      <c r="X599" s="295"/>
      <c r="Y599" s="759"/>
      <c r="Z599" s="759"/>
      <c r="AA599" s="759"/>
      <c r="AB599" s="759"/>
      <c r="AC599" s="759"/>
      <c r="AD599" s="759"/>
      <c r="AE599" s="759"/>
      <c r="AF599" s="409"/>
      <c r="AG599" s="409"/>
      <c r="AH599" s="409"/>
      <c r="AI599" s="409"/>
      <c r="AJ599" s="409"/>
      <c r="AK599" s="409"/>
      <c r="AL599" s="409"/>
      <c r="AM599" s="296">
        <f>SUM(Y599:AL599)</f>
        <v>0</v>
      </c>
    </row>
    <row r="600" spans="1:39" ht="15.5" outlineLevel="1">
      <c r="A600" s="526"/>
      <c r="B600" s="294" t="s">
        <v>310</v>
      </c>
      <c r="C600" s="291" t="s">
        <v>163</v>
      </c>
      <c r="D600" s="295"/>
      <c r="E600" s="295"/>
      <c r="F600" s="295"/>
      <c r="G600" s="295"/>
      <c r="H600" s="295"/>
      <c r="I600" s="295"/>
      <c r="J600" s="295"/>
      <c r="K600" s="295"/>
      <c r="L600" s="295"/>
      <c r="M600" s="295"/>
      <c r="N600" s="751"/>
      <c r="O600" s="295"/>
      <c r="P600" s="295"/>
      <c r="Q600" s="295"/>
      <c r="R600" s="295"/>
      <c r="S600" s="295"/>
      <c r="T600" s="295"/>
      <c r="U600" s="295"/>
      <c r="V600" s="295"/>
      <c r="W600" s="295"/>
      <c r="X600" s="295"/>
      <c r="Y600" s="760">
        <f>Y599</f>
        <v>0</v>
      </c>
      <c r="Z600" s="760">
        <f t="shared" si="1082" ref="Z600:AE600">Z599</f>
        <v>0</v>
      </c>
      <c r="AA600" s="760">
        <f t="shared" si="1082"/>
        <v>0</v>
      </c>
      <c r="AB600" s="760">
        <f t="shared" si="1082"/>
        <v>0</v>
      </c>
      <c r="AC600" s="760">
        <f t="shared" si="1082"/>
        <v>0</v>
      </c>
      <c r="AD600" s="760">
        <f t="shared" si="1082"/>
        <v>0</v>
      </c>
      <c r="AE600" s="760">
        <f t="shared" si="1082"/>
        <v>0</v>
      </c>
      <c r="AF600" s="410">
        <f t="shared" si="1083" ref="AF600">AF599</f>
        <v>0</v>
      </c>
      <c r="AG600" s="410">
        <f t="shared" si="1084" ref="AG600">AG599</f>
        <v>0</v>
      </c>
      <c r="AH600" s="410">
        <f t="shared" si="1085" ref="AH600">AH599</f>
        <v>0</v>
      </c>
      <c r="AI600" s="410">
        <f t="shared" si="1086" ref="AI600">AI599</f>
        <v>0</v>
      </c>
      <c r="AJ600" s="410">
        <f t="shared" si="1087" ref="AJ600">AJ599</f>
        <v>0</v>
      </c>
      <c r="AK600" s="410">
        <f t="shared" si="1088" ref="AK600">AK599</f>
        <v>0</v>
      </c>
      <c r="AL600" s="410">
        <f t="shared" si="1089" ref="AL600">AL599</f>
        <v>0</v>
      </c>
      <c r="AM600" s="297"/>
    </row>
    <row r="601" spans="1:39" ht="15.5" outlineLevel="1">
      <c r="A601" s="526"/>
      <c r="B601" s="294"/>
      <c r="C601" s="291"/>
      <c r="D601" s="750"/>
      <c r="E601" s="750"/>
      <c r="F601" s="750"/>
      <c r="G601" s="750"/>
      <c r="H601" s="750"/>
      <c r="I601" s="750"/>
      <c r="J601" s="750"/>
      <c r="K601" s="750"/>
      <c r="L601" s="750"/>
      <c r="M601" s="750"/>
      <c r="N601" s="750"/>
      <c r="O601" s="750"/>
      <c r="P601" s="750"/>
      <c r="Q601" s="750"/>
      <c r="R601" s="750"/>
      <c r="S601" s="750"/>
      <c r="T601" s="750"/>
      <c r="U601" s="750"/>
      <c r="V601" s="750"/>
      <c r="W601" s="750"/>
      <c r="X601" s="750"/>
      <c r="Y601" s="771"/>
      <c r="Z601" s="772"/>
      <c r="AA601" s="772"/>
      <c r="AB601" s="772"/>
      <c r="AC601" s="772"/>
      <c r="AD601" s="772"/>
      <c r="AE601" s="772"/>
      <c r="AF601" s="420"/>
      <c r="AG601" s="420"/>
      <c r="AH601" s="420"/>
      <c r="AI601" s="420"/>
      <c r="AJ601" s="420"/>
      <c r="AK601" s="420"/>
      <c r="AL601" s="420"/>
      <c r="AM601" s="297"/>
    </row>
    <row r="602" spans="1:39" ht="15.5" outlineLevel="1">
      <c r="A602" s="526"/>
      <c r="B602" s="318" t="s">
        <v>497</v>
      </c>
      <c r="C602" s="289"/>
      <c r="D602" s="754"/>
      <c r="E602" s="754"/>
      <c r="F602" s="754"/>
      <c r="G602" s="754"/>
      <c r="H602" s="754"/>
      <c r="I602" s="754"/>
      <c r="J602" s="754"/>
      <c r="K602" s="754"/>
      <c r="L602" s="754"/>
      <c r="M602" s="754"/>
      <c r="N602" s="756"/>
      <c r="O602" s="754"/>
      <c r="P602" s="754"/>
      <c r="Q602" s="754"/>
      <c r="R602" s="754"/>
      <c r="S602" s="754"/>
      <c r="T602" s="754"/>
      <c r="U602" s="754"/>
      <c r="V602" s="754"/>
      <c r="W602" s="754"/>
      <c r="X602" s="754"/>
      <c r="Y602" s="763"/>
      <c r="Z602" s="763"/>
      <c r="AA602" s="763"/>
      <c r="AB602" s="763"/>
      <c r="AC602" s="763"/>
      <c r="AD602" s="763"/>
      <c r="AE602" s="763"/>
      <c r="AF602" s="413"/>
      <c r="AG602" s="413"/>
      <c r="AH602" s="413"/>
      <c r="AI602" s="413"/>
      <c r="AJ602" s="413"/>
      <c r="AK602" s="413"/>
      <c r="AL602" s="413"/>
      <c r="AM602" s="292"/>
    </row>
    <row r="603" spans="1:39" ht="15.5" outlineLevel="1">
      <c r="A603" s="526">
        <v>6</v>
      </c>
      <c r="B603" s="425"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764"/>
      <c r="Z603" s="759"/>
      <c r="AA603" s="759"/>
      <c r="AB603" s="759"/>
      <c r="AC603" s="759"/>
      <c r="AD603" s="759"/>
      <c r="AE603" s="759"/>
      <c r="AF603" s="414"/>
      <c r="AG603" s="414"/>
      <c r="AH603" s="414"/>
      <c r="AI603" s="414"/>
      <c r="AJ603" s="414"/>
      <c r="AK603" s="414"/>
      <c r="AL603" s="414"/>
      <c r="AM603" s="296">
        <f>SUM(Y603:AL603)</f>
        <v>0</v>
      </c>
    </row>
    <row r="604" spans="1:39" ht="15.5" outlineLevel="1">
      <c r="A604" s="526"/>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760">
        <f>Y603</f>
        <v>0</v>
      </c>
      <c r="Z604" s="760">
        <f t="shared" si="1090" ref="Z604:AE604">Z603</f>
        <v>0</v>
      </c>
      <c r="AA604" s="760">
        <f t="shared" si="1090"/>
        <v>0</v>
      </c>
      <c r="AB604" s="760">
        <f t="shared" si="1090"/>
        <v>0</v>
      </c>
      <c r="AC604" s="760">
        <f t="shared" si="1090"/>
        <v>0</v>
      </c>
      <c r="AD604" s="760">
        <f t="shared" si="1090"/>
        <v>0</v>
      </c>
      <c r="AE604" s="760">
        <f t="shared" si="1090"/>
        <v>0</v>
      </c>
      <c r="AF604" s="410">
        <f t="shared" si="1091" ref="AF604">AF603</f>
        <v>0</v>
      </c>
      <c r="AG604" s="410">
        <f t="shared" si="1092" ref="AG604">AG603</f>
        <v>0</v>
      </c>
      <c r="AH604" s="410">
        <f t="shared" si="1093" ref="AH604">AH603</f>
        <v>0</v>
      </c>
      <c r="AI604" s="410">
        <f t="shared" si="1094" ref="AI604">AI603</f>
        <v>0</v>
      </c>
      <c r="AJ604" s="410">
        <f t="shared" si="1095" ref="AJ604">AJ603</f>
        <v>0</v>
      </c>
      <c r="AK604" s="410">
        <f t="shared" si="1096" ref="AK604">AK603</f>
        <v>0</v>
      </c>
      <c r="AL604" s="410">
        <f t="shared" si="1097" ref="AL604">AL603</f>
        <v>0</v>
      </c>
      <c r="AM604" s="311"/>
    </row>
    <row r="605" spans="1:39" ht="15.5" outlineLevel="1">
      <c r="A605" s="526"/>
      <c r="B605" s="310"/>
      <c r="C605" s="312"/>
      <c r="D605" s="750"/>
      <c r="E605" s="750"/>
      <c r="F605" s="750"/>
      <c r="G605" s="750"/>
      <c r="H605" s="750"/>
      <c r="I605" s="750"/>
      <c r="J605" s="750"/>
      <c r="K605" s="750"/>
      <c r="L605" s="750"/>
      <c r="M605" s="750"/>
      <c r="N605" s="750"/>
      <c r="O605" s="750"/>
      <c r="P605" s="750"/>
      <c r="Q605" s="750"/>
      <c r="R605" s="750"/>
      <c r="S605" s="750"/>
      <c r="T605" s="750"/>
      <c r="U605" s="750"/>
      <c r="V605" s="750"/>
      <c r="W605" s="750"/>
      <c r="X605" s="750"/>
      <c r="Y605" s="765"/>
      <c r="Z605" s="765"/>
      <c r="AA605" s="765"/>
      <c r="AB605" s="765"/>
      <c r="AC605" s="765"/>
      <c r="AD605" s="765"/>
      <c r="AE605" s="765"/>
      <c r="AF605" s="415"/>
      <c r="AG605" s="415"/>
      <c r="AH605" s="415"/>
      <c r="AI605" s="415"/>
      <c r="AJ605" s="415"/>
      <c r="AK605" s="415"/>
      <c r="AL605" s="415"/>
      <c r="AM605" s="313"/>
    </row>
    <row r="606" spans="1:39" ht="31" outlineLevel="1">
      <c r="A606" s="526">
        <v>7</v>
      </c>
      <c r="B606" s="425"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764"/>
      <c r="Z606" s="759"/>
      <c r="AA606" s="759"/>
      <c r="AB606" s="759"/>
      <c r="AC606" s="759"/>
      <c r="AD606" s="759"/>
      <c r="AE606" s="759"/>
      <c r="AF606" s="414"/>
      <c r="AG606" s="414"/>
      <c r="AH606" s="414"/>
      <c r="AI606" s="414"/>
      <c r="AJ606" s="414"/>
      <c r="AK606" s="414"/>
      <c r="AL606" s="414"/>
      <c r="AM606" s="296">
        <f>SUM(Y606:AL606)</f>
        <v>0</v>
      </c>
    </row>
    <row r="607" spans="1:39" ht="15.5" outlineLevel="1">
      <c r="A607" s="526"/>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760">
        <f>Y606</f>
        <v>0</v>
      </c>
      <c r="Z607" s="760">
        <f t="shared" si="1098" ref="Z607:AE607">Z606</f>
        <v>0</v>
      </c>
      <c r="AA607" s="760">
        <f t="shared" si="1098"/>
        <v>0</v>
      </c>
      <c r="AB607" s="760">
        <f t="shared" si="1098"/>
        <v>0</v>
      </c>
      <c r="AC607" s="760">
        <f t="shared" si="1098"/>
        <v>0</v>
      </c>
      <c r="AD607" s="760">
        <f t="shared" si="1098"/>
        <v>0</v>
      </c>
      <c r="AE607" s="760">
        <f t="shared" si="1098"/>
        <v>0</v>
      </c>
      <c r="AF607" s="410">
        <f t="shared" si="1099" ref="AF607">AF606</f>
        <v>0</v>
      </c>
      <c r="AG607" s="410">
        <f t="shared" si="1100" ref="AG607">AG606</f>
        <v>0</v>
      </c>
      <c r="AH607" s="410">
        <f t="shared" si="1101" ref="AH607">AH606</f>
        <v>0</v>
      </c>
      <c r="AI607" s="410">
        <f t="shared" si="1102" ref="AI607">AI606</f>
        <v>0</v>
      </c>
      <c r="AJ607" s="410">
        <f t="shared" si="1103" ref="AJ607">AJ606</f>
        <v>0</v>
      </c>
      <c r="AK607" s="410">
        <f t="shared" si="1104" ref="AK607">AK606</f>
        <v>0</v>
      </c>
      <c r="AL607" s="410">
        <f t="shared" si="1105" ref="AL607">AL606</f>
        <v>0</v>
      </c>
      <c r="AM607" s="311"/>
    </row>
    <row r="608" spans="1:39" ht="15.5" outlineLevel="1">
      <c r="A608" s="526"/>
      <c r="B608" s="314"/>
      <c r="C608" s="312"/>
      <c r="D608" s="750"/>
      <c r="E608" s="750"/>
      <c r="F608" s="750"/>
      <c r="G608" s="750"/>
      <c r="H608" s="750"/>
      <c r="I608" s="750"/>
      <c r="J608" s="750"/>
      <c r="K608" s="750"/>
      <c r="L608" s="750"/>
      <c r="M608" s="750"/>
      <c r="N608" s="750"/>
      <c r="O608" s="750"/>
      <c r="P608" s="750"/>
      <c r="Q608" s="750"/>
      <c r="R608" s="750"/>
      <c r="S608" s="750"/>
      <c r="T608" s="750"/>
      <c r="U608" s="750"/>
      <c r="V608" s="750"/>
      <c r="W608" s="750"/>
      <c r="X608" s="750"/>
      <c r="Y608" s="765"/>
      <c r="Z608" s="766"/>
      <c r="AA608" s="765"/>
      <c r="AB608" s="765"/>
      <c r="AC608" s="765"/>
      <c r="AD608" s="765"/>
      <c r="AE608" s="765"/>
      <c r="AF608" s="415"/>
      <c r="AG608" s="415"/>
      <c r="AH608" s="415"/>
      <c r="AI608" s="415"/>
      <c r="AJ608" s="415"/>
      <c r="AK608" s="415"/>
      <c r="AL608" s="415"/>
      <c r="AM608" s="313"/>
    </row>
    <row r="609" spans="1:39" ht="31" outlineLevel="1">
      <c r="A609" s="526">
        <v>8</v>
      </c>
      <c r="B609" s="425"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764"/>
      <c r="Z609" s="759"/>
      <c r="AA609" s="759"/>
      <c r="AB609" s="759"/>
      <c r="AC609" s="759"/>
      <c r="AD609" s="759"/>
      <c r="AE609" s="759"/>
      <c r="AF609" s="414"/>
      <c r="AG609" s="414"/>
      <c r="AH609" s="414"/>
      <c r="AI609" s="414"/>
      <c r="AJ609" s="414"/>
      <c r="AK609" s="414"/>
      <c r="AL609" s="414"/>
      <c r="AM609" s="296">
        <f>SUM(Y609:AL609)</f>
        <v>0</v>
      </c>
    </row>
    <row r="610" spans="1:39" ht="15.5" outlineLevel="1">
      <c r="A610" s="526"/>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760">
        <f>Y609</f>
        <v>0</v>
      </c>
      <c r="Z610" s="760">
        <f t="shared" si="1106" ref="Z610:AE610">Z609</f>
        <v>0</v>
      </c>
      <c r="AA610" s="760">
        <f t="shared" si="1106"/>
        <v>0</v>
      </c>
      <c r="AB610" s="760">
        <f t="shared" si="1106"/>
        <v>0</v>
      </c>
      <c r="AC610" s="760">
        <f t="shared" si="1106"/>
        <v>0</v>
      </c>
      <c r="AD610" s="760">
        <f t="shared" si="1106"/>
        <v>0</v>
      </c>
      <c r="AE610" s="760">
        <f t="shared" si="1106"/>
        <v>0</v>
      </c>
      <c r="AF610" s="410">
        <f t="shared" si="1107" ref="AF610">AF609</f>
        <v>0</v>
      </c>
      <c r="AG610" s="410">
        <f t="shared" si="1108" ref="AG610">AG609</f>
        <v>0</v>
      </c>
      <c r="AH610" s="410">
        <f t="shared" si="1109" ref="AH610">AH609</f>
        <v>0</v>
      </c>
      <c r="AI610" s="410">
        <f t="shared" si="1110" ref="AI610">AI609</f>
        <v>0</v>
      </c>
      <c r="AJ610" s="410">
        <f t="shared" si="1111" ref="AJ610">AJ609</f>
        <v>0</v>
      </c>
      <c r="AK610" s="410">
        <f t="shared" si="1112" ref="AK610">AK609</f>
        <v>0</v>
      </c>
      <c r="AL610" s="410">
        <f t="shared" si="1113" ref="AL610">AL609</f>
        <v>0</v>
      </c>
      <c r="AM610" s="311"/>
    </row>
    <row r="611" spans="1:39" ht="15.5" outlineLevel="1">
      <c r="A611" s="526"/>
      <c r="B611" s="314"/>
      <c r="C611" s="312"/>
      <c r="D611" s="755"/>
      <c r="E611" s="755"/>
      <c r="F611" s="755"/>
      <c r="G611" s="755"/>
      <c r="H611" s="755"/>
      <c r="I611" s="755"/>
      <c r="J611" s="755"/>
      <c r="K611" s="755"/>
      <c r="L611" s="755"/>
      <c r="M611" s="755"/>
      <c r="N611" s="750"/>
      <c r="O611" s="755"/>
      <c r="P611" s="755"/>
      <c r="Q611" s="755"/>
      <c r="R611" s="755"/>
      <c r="S611" s="755"/>
      <c r="T611" s="755"/>
      <c r="U611" s="755"/>
      <c r="V611" s="755"/>
      <c r="W611" s="755"/>
      <c r="X611" s="755"/>
      <c r="Y611" s="765"/>
      <c r="Z611" s="766"/>
      <c r="AA611" s="765"/>
      <c r="AB611" s="765"/>
      <c r="AC611" s="765"/>
      <c r="AD611" s="765"/>
      <c r="AE611" s="765"/>
      <c r="AF611" s="415"/>
      <c r="AG611" s="415"/>
      <c r="AH611" s="415"/>
      <c r="AI611" s="415"/>
      <c r="AJ611" s="415"/>
      <c r="AK611" s="415"/>
      <c r="AL611" s="415"/>
      <c r="AM611" s="313"/>
    </row>
    <row r="612" spans="1:39" ht="31" outlineLevel="1">
      <c r="A612" s="526">
        <v>9</v>
      </c>
      <c r="B612" s="425"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764"/>
      <c r="Z612" s="759"/>
      <c r="AA612" s="759"/>
      <c r="AB612" s="759"/>
      <c r="AC612" s="759"/>
      <c r="AD612" s="759"/>
      <c r="AE612" s="759"/>
      <c r="AF612" s="414"/>
      <c r="AG612" s="414"/>
      <c r="AH612" s="414"/>
      <c r="AI612" s="414"/>
      <c r="AJ612" s="414"/>
      <c r="AK612" s="414"/>
      <c r="AL612" s="414"/>
      <c r="AM612" s="296">
        <f>SUM(Y612:AL612)</f>
        <v>0</v>
      </c>
    </row>
    <row r="613" spans="1:39" ht="15.5" outlineLevel="1">
      <c r="A613" s="526"/>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760">
        <f>Y612</f>
        <v>0</v>
      </c>
      <c r="Z613" s="760">
        <f t="shared" si="1114" ref="Z613:AE613">Z612</f>
        <v>0</v>
      </c>
      <c r="AA613" s="760">
        <f t="shared" si="1114"/>
        <v>0</v>
      </c>
      <c r="AB613" s="760">
        <f t="shared" si="1114"/>
        <v>0</v>
      </c>
      <c r="AC613" s="760">
        <f t="shared" si="1114"/>
        <v>0</v>
      </c>
      <c r="AD613" s="760">
        <f t="shared" si="1114"/>
        <v>0</v>
      </c>
      <c r="AE613" s="760">
        <f t="shared" si="1114"/>
        <v>0</v>
      </c>
      <c r="AF613" s="410">
        <f t="shared" si="1115" ref="AF613">AF612</f>
        <v>0</v>
      </c>
      <c r="AG613" s="410">
        <f t="shared" si="1116" ref="AG613">AG612</f>
        <v>0</v>
      </c>
      <c r="AH613" s="410">
        <f t="shared" si="1117" ref="AH613">AH612</f>
        <v>0</v>
      </c>
      <c r="AI613" s="410">
        <f t="shared" si="1118" ref="AI613">AI612</f>
        <v>0</v>
      </c>
      <c r="AJ613" s="410">
        <f t="shared" si="1119" ref="AJ613">AJ612</f>
        <v>0</v>
      </c>
      <c r="AK613" s="410">
        <f t="shared" si="1120" ref="AK613">AK612</f>
        <v>0</v>
      </c>
      <c r="AL613" s="410">
        <f t="shared" si="1121" ref="AL613">AL612</f>
        <v>0</v>
      </c>
      <c r="AM613" s="311"/>
    </row>
    <row r="614" spans="1:39" ht="15.5" outlineLevel="1">
      <c r="A614" s="526"/>
      <c r="B614" s="314"/>
      <c r="C614" s="312"/>
      <c r="D614" s="755"/>
      <c r="E614" s="755"/>
      <c r="F614" s="755"/>
      <c r="G614" s="755"/>
      <c r="H614" s="755"/>
      <c r="I614" s="755"/>
      <c r="J614" s="755"/>
      <c r="K614" s="755"/>
      <c r="L614" s="755"/>
      <c r="M614" s="755"/>
      <c r="N614" s="750"/>
      <c r="O614" s="755"/>
      <c r="P614" s="755"/>
      <c r="Q614" s="755"/>
      <c r="R614" s="755"/>
      <c r="S614" s="755"/>
      <c r="T614" s="755"/>
      <c r="U614" s="755"/>
      <c r="V614" s="755"/>
      <c r="W614" s="755"/>
      <c r="X614" s="755"/>
      <c r="Y614" s="765"/>
      <c r="Z614" s="765"/>
      <c r="AA614" s="765"/>
      <c r="AB614" s="765"/>
      <c r="AC614" s="765"/>
      <c r="AD614" s="765"/>
      <c r="AE614" s="765"/>
      <c r="AF614" s="415"/>
      <c r="AG614" s="415"/>
      <c r="AH614" s="415"/>
      <c r="AI614" s="415"/>
      <c r="AJ614" s="415"/>
      <c r="AK614" s="415"/>
      <c r="AL614" s="415"/>
      <c r="AM614" s="313"/>
    </row>
    <row r="615" spans="1:39" ht="31" outlineLevel="1">
      <c r="A615" s="526">
        <v>10</v>
      </c>
      <c r="B615" s="425"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764"/>
      <c r="Z615" s="759"/>
      <c r="AA615" s="759"/>
      <c r="AB615" s="759"/>
      <c r="AC615" s="759"/>
      <c r="AD615" s="759"/>
      <c r="AE615" s="759"/>
      <c r="AF615" s="414"/>
      <c r="AG615" s="414"/>
      <c r="AH615" s="414"/>
      <c r="AI615" s="414"/>
      <c r="AJ615" s="414"/>
      <c r="AK615" s="414"/>
      <c r="AL615" s="414"/>
      <c r="AM615" s="296">
        <f>SUM(Y615:AL615)</f>
        <v>0</v>
      </c>
    </row>
    <row r="616" spans="1:39" ht="15.5" outlineLevel="1">
      <c r="A616" s="526"/>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760">
        <f>Y615</f>
        <v>0</v>
      </c>
      <c r="Z616" s="760">
        <f t="shared" si="1122" ref="Z616:AE616">Z615</f>
        <v>0</v>
      </c>
      <c r="AA616" s="760">
        <f t="shared" si="1122"/>
        <v>0</v>
      </c>
      <c r="AB616" s="760">
        <f t="shared" si="1122"/>
        <v>0</v>
      </c>
      <c r="AC616" s="760">
        <f t="shared" si="1122"/>
        <v>0</v>
      </c>
      <c r="AD616" s="760">
        <f t="shared" si="1122"/>
        <v>0</v>
      </c>
      <c r="AE616" s="760">
        <f t="shared" si="1122"/>
        <v>0</v>
      </c>
      <c r="AF616" s="410">
        <f t="shared" si="1123" ref="AF616">AF615</f>
        <v>0</v>
      </c>
      <c r="AG616" s="410">
        <f t="shared" si="1124" ref="AG616">AG615</f>
        <v>0</v>
      </c>
      <c r="AH616" s="410">
        <f t="shared" si="1125" ref="AH616">AH615</f>
        <v>0</v>
      </c>
      <c r="AI616" s="410">
        <f t="shared" si="1126" ref="AI616">AI615</f>
        <v>0</v>
      </c>
      <c r="AJ616" s="410">
        <f t="shared" si="1127" ref="AJ616">AJ615</f>
        <v>0</v>
      </c>
      <c r="AK616" s="410">
        <f t="shared" si="1128" ref="AK616">AK615</f>
        <v>0</v>
      </c>
      <c r="AL616" s="410">
        <f t="shared" si="1129" ref="AL616">AL615</f>
        <v>0</v>
      </c>
      <c r="AM616" s="311"/>
    </row>
    <row r="617" spans="1:39" ht="15.5" outlineLevel="1">
      <c r="A617" s="526"/>
      <c r="B617" s="314"/>
      <c r="C617" s="312"/>
      <c r="D617" s="755"/>
      <c r="E617" s="755"/>
      <c r="F617" s="755"/>
      <c r="G617" s="755"/>
      <c r="H617" s="755"/>
      <c r="I617" s="755"/>
      <c r="J617" s="755"/>
      <c r="K617" s="755"/>
      <c r="L617" s="755"/>
      <c r="M617" s="755"/>
      <c r="N617" s="750"/>
      <c r="O617" s="755"/>
      <c r="P617" s="755"/>
      <c r="Q617" s="755"/>
      <c r="R617" s="755"/>
      <c r="S617" s="755"/>
      <c r="T617" s="755"/>
      <c r="U617" s="755"/>
      <c r="V617" s="755"/>
      <c r="W617" s="755"/>
      <c r="X617" s="755"/>
      <c r="Y617" s="765"/>
      <c r="Z617" s="766"/>
      <c r="AA617" s="765"/>
      <c r="AB617" s="765"/>
      <c r="AC617" s="765"/>
      <c r="AD617" s="765"/>
      <c r="AE617" s="765"/>
      <c r="AF617" s="415"/>
      <c r="AG617" s="415"/>
      <c r="AH617" s="415"/>
      <c r="AI617" s="415"/>
      <c r="AJ617" s="415"/>
      <c r="AK617" s="415"/>
      <c r="AL617" s="415"/>
      <c r="AM617" s="313"/>
    </row>
    <row r="618" spans="1:39" ht="15.5" outlineLevel="1">
      <c r="A618" s="526"/>
      <c r="B618" s="288" t="s">
        <v>10</v>
      </c>
      <c r="C618" s="289"/>
      <c r="D618" s="754"/>
      <c r="E618" s="754"/>
      <c r="F618" s="754"/>
      <c r="G618" s="754"/>
      <c r="H618" s="754"/>
      <c r="I618" s="754"/>
      <c r="J618" s="754"/>
      <c r="K618" s="754"/>
      <c r="L618" s="754"/>
      <c r="M618" s="754"/>
      <c r="N618" s="756"/>
      <c r="O618" s="754"/>
      <c r="P618" s="754"/>
      <c r="Q618" s="754"/>
      <c r="R618" s="754"/>
      <c r="S618" s="754"/>
      <c r="T618" s="754"/>
      <c r="U618" s="754"/>
      <c r="V618" s="754"/>
      <c r="W618" s="754"/>
      <c r="X618" s="754"/>
      <c r="Y618" s="763"/>
      <c r="Z618" s="763"/>
      <c r="AA618" s="763"/>
      <c r="AB618" s="763"/>
      <c r="AC618" s="763"/>
      <c r="AD618" s="763"/>
      <c r="AE618" s="763"/>
      <c r="AF618" s="413"/>
      <c r="AG618" s="413"/>
      <c r="AH618" s="413"/>
      <c r="AI618" s="413"/>
      <c r="AJ618" s="413"/>
      <c r="AK618" s="413"/>
      <c r="AL618" s="413"/>
      <c r="AM618" s="292"/>
    </row>
    <row r="619" spans="1:39" ht="31" outlineLevel="1">
      <c r="A619" s="526">
        <v>11</v>
      </c>
      <c r="B619" s="425"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776"/>
      <c r="Z619" s="759"/>
      <c r="AA619" s="759"/>
      <c r="AB619" s="759"/>
      <c r="AC619" s="759"/>
      <c r="AD619" s="759"/>
      <c r="AE619" s="759"/>
      <c r="AF619" s="414"/>
      <c r="AG619" s="414"/>
      <c r="AH619" s="414"/>
      <c r="AI619" s="414"/>
      <c r="AJ619" s="414"/>
      <c r="AK619" s="414"/>
      <c r="AL619" s="414"/>
      <c r="AM619" s="296">
        <f>SUM(Y619:AL619)</f>
        <v>0</v>
      </c>
    </row>
    <row r="620" spans="1:39" ht="15.5" outlineLevel="1">
      <c r="A620" s="526"/>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760">
        <f>Y619</f>
        <v>0</v>
      </c>
      <c r="Z620" s="760">
        <f t="shared" si="1130" ref="Z620:AE620">Z619</f>
        <v>0</v>
      </c>
      <c r="AA620" s="760">
        <f t="shared" si="1130"/>
        <v>0</v>
      </c>
      <c r="AB620" s="760">
        <f t="shared" si="1130"/>
        <v>0</v>
      </c>
      <c r="AC620" s="760">
        <f t="shared" si="1130"/>
        <v>0</v>
      </c>
      <c r="AD620" s="760">
        <f t="shared" si="1130"/>
        <v>0</v>
      </c>
      <c r="AE620" s="760">
        <f t="shared" si="1130"/>
        <v>0</v>
      </c>
      <c r="AF620" s="410">
        <f t="shared" si="1131" ref="AF620">AF619</f>
        <v>0</v>
      </c>
      <c r="AG620" s="410">
        <f t="shared" si="1132" ref="AG620">AG619</f>
        <v>0</v>
      </c>
      <c r="AH620" s="410">
        <f t="shared" si="1133" ref="AH620">AH619</f>
        <v>0</v>
      </c>
      <c r="AI620" s="410">
        <f t="shared" si="1134" ref="AI620">AI619</f>
        <v>0</v>
      </c>
      <c r="AJ620" s="410">
        <f t="shared" si="1135" ref="AJ620">AJ619</f>
        <v>0</v>
      </c>
      <c r="AK620" s="410">
        <f t="shared" si="1136" ref="AK620">AK619</f>
        <v>0</v>
      </c>
      <c r="AL620" s="410">
        <f t="shared" si="1137" ref="AL620">AL619</f>
        <v>0</v>
      </c>
      <c r="AM620" s="297"/>
    </row>
    <row r="621" spans="1:39" ht="15.5" outlineLevel="1">
      <c r="A621" s="526"/>
      <c r="B621" s="315"/>
      <c r="C621" s="305"/>
      <c r="D621" s="750"/>
      <c r="E621" s="750"/>
      <c r="F621" s="750"/>
      <c r="G621" s="750"/>
      <c r="H621" s="750"/>
      <c r="I621" s="750"/>
      <c r="J621" s="750"/>
      <c r="K621" s="750"/>
      <c r="L621" s="750"/>
      <c r="M621" s="750"/>
      <c r="N621" s="750"/>
      <c r="O621" s="750"/>
      <c r="P621" s="750"/>
      <c r="Q621" s="750"/>
      <c r="R621" s="750"/>
      <c r="S621" s="750"/>
      <c r="T621" s="750"/>
      <c r="U621" s="750"/>
      <c r="V621" s="750"/>
      <c r="W621" s="750"/>
      <c r="X621" s="750"/>
      <c r="Y621" s="761"/>
      <c r="Z621" s="770"/>
      <c r="AA621" s="770"/>
      <c r="AB621" s="770"/>
      <c r="AC621" s="770"/>
      <c r="AD621" s="770"/>
      <c r="AE621" s="770"/>
      <c r="AF621" s="418"/>
      <c r="AG621" s="418"/>
      <c r="AH621" s="418"/>
      <c r="AI621" s="418"/>
      <c r="AJ621" s="418"/>
      <c r="AK621" s="418"/>
      <c r="AL621" s="418"/>
      <c r="AM621" s="306"/>
    </row>
    <row r="622" spans="1:39" ht="31" outlineLevel="1">
      <c r="A622" s="526">
        <v>12</v>
      </c>
      <c r="B622" s="425"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759"/>
      <c r="Z622" s="759"/>
      <c r="AA622" s="759"/>
      <c r="AB622" s="759"/>
      <c r="AC622" s="759"/>
      <c r="AD622" s="759"/>
      <c r="AE622" s="759"/>
      <c r="AF622" s="414"/>
      <c r="AG622" s="414"/>
      <c r="AH622" s="414"/>
      <c r="AI622" s="414"/>
      <c r="AJ622" s="414"/>
      <c r="AK622" s="414"/>
      <c r="AL622" s="414"/>
      <c r="AM622" s="296">
        <f>SUM(Y622:AL622)</f>
        <v>0</v>
      </c>
    </row>
    <row r="623" spans="1:39" ht="15.5" outlineLevel="1">
      <c r="A623" s="526"/>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760">
        <f>Y622</f>
        <v>0</v>
      </c>
      <c r="Z623" s="760">
        <f t="shared" si="1138" ref="Z623:AE623">Z622</f>
        <v>0</v>
      </c>
      <c r="AA623" s="760">
        <f t="shared" si="1138"/>
        <v>0</v>
      </c>
      <c r="AB623" s="760">
        <f t="shared" si="1138"/>
        <v>0</v>
      </c>
      <c r="AC623" s="760">
        <f t="shared" si="1138"/>
        <v>0</v>
      </c>
      <c r="AD623" s="760">
        <f t="shared" si="1138"/>
        <v>0</v>
      </c>
      <c r="AE623" s="760">
        <f t="shared" si="1138"/>
        <v>0</v>
      </c>
      <c r="AF623" s="410">
        <f t="shared" si="1139" ref="AF623">AF622</f>
        <v>0</v>
      </c>
      <c r="AG623" s="410">
        <f t="shared" si="1140" ref="AG623">AG622</f>
        <v>0</v>
      </c>
      <c r="AH623" s="410">
        <f t="shared" si="1141" ref="AH623">AH622</f>
        <v>0</v>
      </c>
      <c r="AI623" s="410">
        <f t="shared" si="1142" ref="AI623">AI622</f>
        <v>0</v>
      </c>
      <c r="AJ623" s="410">
        <f t="shared" si="1143" ref="AJ623">AJ622</f>
        <v>0</v>
      </c>
      <c r="AK623" s="410">
        <f t="shared" si="1144" ref="AK623">AK622</f>
        <v>0</v>
      </c>
      <c r="AL623" s="410">
        <f t="shared" si="1145" ref="AL623">AL622</f>
        <v>0</v>
      </c>
      <c r="AM623" s="297"/>
    </row>
    <row r="624" spans="1:39" ht="15.5" outlineLevel="1">
      <c r="A624" s="526"/>
      <c r="B624" s="315"/>
      <c r="C624" s="305"/>
      <c r="D624" s="750"/>
      <c r="E624" s="750"/>
      <c r="F624" s="750"/>
      <c r="G624" s="750"/>
      <c r="H624" s="750"/>
      <c r="I624" s="750"/>
      <c r="J624" s="750"/>
      <c r="K624" s="750"/>
      <c r="L624" s="750"/>
      <c r="M624" s="750"/>
      <c r="N624" s="750"/>
      <c r="O624" s="750"/>
      <c r="P624" s="750"/>
      <c r="Q624" s="750"/>
      <c r="R624" s="750"/>
      <c r="S624" s="750"/>
      <c r="T624" s="750"/>
      <c r="U624" s="750"/>
      <c r="V624" s="750"/>
      <c r="W624" s="750"/>
      <c r="X624" s="750"/>
      <c r="Y624" s="771"/>
      <c r="Z624" s="771"/>
      <c r="AA624" s="761"/>
      <c r="AB624" s="761"/>
      <c r="AC624" s="761"/>
      <c r="AD624" s="761"/>
      <c r="AE624" s="761"/>
      <c r="AF624" s="411"/>
      <c r="AG624" s="411"/>
      <c r="AH624" s="411"/>
      <c r="AI624" s="411"/>
      <c r="AJ624" s="411"/>
      <c r="AK624" s="411"/>
      <c r="AL624" s="411"/>
      <c r="AM624" s="306"/>
    </row>
    <row r="625" spans="1:39" ht="31" outlineLevel="1">
      <c r="A625" s="526">
        <v>13</v>
      </c>
      <c r="B625" s="425"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759"/>
      <c r="Z625" s="759"/>
      <c r="AA625" s="759"/>
      <c r="AB625" s="759"/>
      <c r="AC625" s="759"/>
      <c r="AD625" s="759"/>
      <c r="AE625" s="759"/>
      <c r="AF625" s="414"/>
      <c r="AG625" s="414"/>
      <c r="AH625" s="414"/>
      <c r="AI625" s="414"/>
      <c r="AJ625" s="414"/>
      <c r="AK625" s="414"/>
      <c r="AL625" s="414"/>
      <c r="AM625" s="296">
        <f>SUM(Y625:AL625)</f>
        <v>0</v>
      </c>
    </row>
    <row r="626" spans="1:39" ht="15.5" outlineLevel="1">
      <c r="A626" s="526"/>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760">
        <f>Y625</f>
        <v>0</v>
      </c>
      <c r="Z626" s="760">
        <f t="shared" si="1146" ref="Z626:AE626">Z625</f>
        <v>0</v>
      </c>
      <c r="AA626" s="760">
        <f t="shared" si="1146"/>
        <v>0</v>
      </c>
      <c r="AB626" s="760">
        <f t="shared" si="1146"/>
        <v>0</v>
      </c>
      <c r="AC626" s="760">
        <f t="shared" si="1146"/>
        <v>0</v>
      </c>
      <c r="AD626" s="760">
        <f t="shared" si="1146"/>
        <v>0</v>
      </c>
      <c r="AE626" s="760">
        <f t="shared" si="1146"/>
        <v>0</v>
      </c>
      <c r="AF626" s="410">
        <f t="shared" si="1147" ref="AF626">AF625</f>
        <v>0</v>
      </c>
      <c r="AG626" s="410">
        <f t="shared" si="1148" ref="AG626">AG625</f>
        <v>0</v>
      </c>
      <c r="AH626" s="410">
        <f t="shared" si="1149" ref="AH626">AH625</f>
        <v>0</v>
      </c>
      <c r="AI626" s="410">
        <f t="shared" si="1150" ref="AI626">AI625</f>
        <v>0</v>
      </c>
      <c r="AJ626" s="410">
        <f t="shared" si="1151" ref="AJ626">AJ625</f>
        <v>0</v>
      </c>
      <c r="AK626" s="410">
        <f t="shared" si="1152" ref="AK626">AK625</f>
        <v>0</v>
      </c>
      <c r="AL626" s="410">
        <f t="shared" si="1153" ref="AL626">AL625</f>
        <v>0</v>
      </c>
      <c r="AM626" s="306"/>
    </row>
    <row r="627" spans="1:39" ht="15.5" outlineLevel="1">
      <c r="A627" s="526"/>
      <c r="B627" s="315"/>
      <c r="C627" s="305"/>
      <c r="D627" s="750"/>
      <c r="E627" s="750"/>
      <c r="F627" s="750"/>
      <c r="G627" s="750"/>
      <c r="H627" s="750"/>
      <c r="I627" s="750"/>
      <c r="J627" s="750"/>
      <c r="K627" s="750"/>
      <c r="L627" s="750"/>
      <c r="M627" s="750"/>
      <c r="N627" s="750"/>
      <c r="O627" s="750"/>
      <c r="P627" s="750"/>
      <c r="Q627" s="750"/>
      <c r="R627" s="750"/>
      <c r="S627" s="750"/>
      <c r="T627" s="750"/>
      <c r="U627" s="750"/>
      <c r="V627" s="750"/>
      <c r="W627" s="750"/>
      <c r="X627" s="750"/>
      <c r="Y627" s="761"/>
      <c r="Z627" s="761"/>
      <c r="AA627" s="761"/>
      <c r="AB627" s="761"/>
      <c r="AC627" s="761"/>
      <c r="AD627" s="761"/>
      <c r="AE627" s="761"/>
      <c r="AF627" s="411"/>
      <c r="AG627" s="411"/>
      <c r="AH627" s="411"/>
      <c r="AI627" s="411"/>
      <c r="AJ627" s="411"/>
      <c r="AK627" s="411"/>
      <c r="AL627" s="411"/>
      <c r="AM627" s="306"/>
    </row>
    <row r="628" spans="1:39" ht="15.5" outlineLevel="1">
      <c r="A628" s="526"/>
      <c r="B628" s="288" t="s">
        <v>107</v>
      </c>
      <c r="C628" s="289"/>
      <c r="D628" s="756"/>
      <c r="E628" s="756"/>
      <c r="F628" s="756"/>
      <c r="G628" s="756"/>
      <c r="H628" s="756"/>
      <c r="I628" s="756"/>
      <c r="J628" s="756"/>
      <c r="K628" s="756"/>
      <c r="L628" s="756"/>
      <c r="M628" s="756"/>
      <c r="N628" s="756"/>
      <c r="O628" s="756"/>
      <c r="P628" s="754"/>
      <c r="Q628" s="754"/>
      <c r="R628" s="754"/>
      <c r="S628" s="754"/>
      <c r="T628" s="754"/>
      <c r="U628" s="754"/>
      <c r="V628" s="754"/>
      <c r="W628" s="754"/>
      <c r="X628" s="754"/>
      <c r="Y628" s="763"/>
      <c r="Z628" s="763"/>
      <c r="AA628" s="763"/>
      <c r="AB628" s="763"/>
      <c r="AC628" s="763"/>
      <c r="AD628" s="763"/>
      <c r="AE628" s="763"/>
      <c r="AF628" s="413"/>
      <c r="AG628" s="413"/>
      <c r="AH628" s="413"/>
      <c r="AI628" s="413"/>
      <c r="AJ628" s="413"/>
      <c r="AK628" s="413"/>
      <c r="AL628" s="413"/>
      <c r="AM628" s="292"/>
    </row>
    <row r="629" spans="1:39" ht="15.5" outlineLevel="1">
      <c r="A629" s="526">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759"/>
      <c r="Z629" s="759"/>
      <c r="AA629" s="759"/>
      <c r="AB629" s="759"/>
      <c r="AC629" s="759"/>
      <c r="AD629" s="759"/>
      <c r="AE629" s="759"/>
      <c r="AF629" s="409"/>
      <c r="AG629" s="409"/>
      <c r="AH629" s="409"/>
      <c r="AI629" s="409"/>
      <c r="AJ629" s="409"/>
      <c r="AK629" s="409"/>
      <c r="AL629" s="409"/>
      <c r="AM629" s="296">
        <f>SUM(Y629:AL629)</f>
        <v>0</v>
      </c>
    </row>
    <row r="630" spans="1:40" ht="15.5" outlineLevel="1">
      <c r="A630" s="526"/>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760">
        <f>Y629</f>
        <v>0</v>
      </c>
      <c r="Z630" s="760">
        <f t="shared" si="1154" ref="Z630:AE630">Z629</f>
        <v>0</v>
      </c>
      <c r="AA630" s="760">
        <f t="shared" si="1154"/>
        <v>0</v>
      </c>
      <c r="AB630" s="760">
        <f t="shared" si="1154"/>
        <v>0</v>
      </c>
      <c r="AC630" s="760">
        <f t="shared" si="1154"/>
        <v>0</v>
      </c>
      <c r="AD630" s="760">
        <f t="shared" si="1154"/>
        <v>0</v>
      </c>
      <c r="AE630" s="760">
        <f t="shared" si="1154"/>
        <v>0</v>
      </c>
      <c r="AF630" s="410">
        <f t="shared" si="1155" ref="AF630">AF629</f>
        <v>0</v>
      </c>
      <c r="AG630" s="410">
        <f t="shared" si="1156" ref="AG630">AG629</f>
        <v>0</v>
      </c>
      <c r="AH630" s="410">
        <f t="shared" si="1157" ref="AH630">AH629</f>
        <v>0</v>
      </c>
      <c r="AI630" s="410">
        <f t="shared" si="1158" ref="AI630">AI629</f>
        <v>0</v>
      </c>
      <c r="AJ630" s="410">
        <f t="shared" si="1159" ref="AJ630">AJ629</f>
        <v>0</v>
      </c>
      <c r="AK630" s="410">
        <f t="shared" si="1160" ref="AK630">AK629</f>
        <v>0</v>
      </c>
      <c r="AL630" s="410">
        <f t="shared" si="1161" ref="AL630">AL629</f>
        <v>0</v>
      </c>
      <c r="AM630" s="510"/>
      <c r="AN630" s="623"/>
    </row>
    <row r="631" spans="1:40" ht="15.5" outlineLevel="1">
      <c r="A631" s="526"/>
      <c r="B631" s="315"/>
      <c r="C631" s="305"/>
      <c r="D631" s="750"/>
      <c r="E631" s="750"/>
      <c r="F631" s="750"/>
      <c r="G631" s="750"/>
      <c r="H631" s="750"/>
      <c r="I631" s="750"/>
      <c r="J631" s="750"/>
      <c r="K631" s="750"/>
      <c r="L631" s="750"/>
      <c r="M631" s="750"/>
      <c r="N631" s="751"/>
      <c r="O631" s="750"/>
      <c r="P631" s="750"/>
      <c r="Q631" s="750"/>
      <c r="R631" s="750"/>
      <c r="S631" s="750"/>
      <c r="T631" s="750"/>
      <c r="U631" s="750"/>
      <c r="V631" s="750"/>
      <c r="W631" s="750"/>
      <c r="X631" s="750"/>
      <c r="Y631" s="761"/>
      <c r="Z631" s="761"/>
      <c r="AA631" s="761"/>
      <c r="AB631" s="761"/>
      <c r="AC631" s="761"/>
      <c r="AD631" s="761"/>
      <c r="AE631" s="761"/>
      <c r="AF631" s="411"/>
      <c r="AG631" s="411"/>
      <c r="AH631" s="411"/>
      <c r="AI631" s="411"/>
      <c r="AJ631" s="411"/>
      <c r="AK631" s="411"/>
      <c r="AL631" s="411"/>
      <c r="AM631" s="301"/>
      <c r="AN631" s="623"/>
    </row>
    <row r="632" spans="1:40" s="309" customFormat="1" ht="15.5" outlineLevel="1">
      <c r="A632" s="526"/>
      <c r="B632" s="288" t="s">
        <v>489</v>
      </c>
      <c r="C632" s="291"/>
      <c r="D632" s="750"/>
      <c r="E632" s="750"/>
      <c r="F632" s="750"/>
      <c r="G632" s="750"/>
      <c r="H632" s="750"/>
      <c r="I632" s="750"/>
      <c r="J632" s="750"/>
      <c r="K632" s="750"/>
      <c r="L632" s="750"/>
      <c r="M632" s="750"/>
      <c r="N632" s="750"/>
      <c r="O632" s="750"/>
      <c r="P632" s="750"/>
      <c r="Q632" s="750"/>
      <c r="R632" s="750"/>
      <c r="S632" s="750"/>
      <c r="T632" s="750"/>
      <c r="U632" s="750"/>
      <c r="V632" s="750"/>
      <c r="W632" s="750"/>
      <c r="X632" s="750"/>
      <c r="Y632" s="761"/>
      <c r="Z632" s="761"/>
      <c r="AA632" s="761"/>
      <c r="AB632" s="761"/>
      <c r="AC632" s="761"/>
      <c r="AD632" s="761"/>
      <c r="AE632" s="765"/>
      <c r="AF632" s="415"/>
      <c r="AG632" s="415"/>
      <c r="AH632" s="415"/>
      <c r="AI632" s="415"/>
      <c r="AJ632" s="415"/>
      <c r="AK632" s="415"/>
      <c r="AL632" s="415"/>
      <c r="AM632" s="511"/>
      <c r="AN632" s="624"/>
    </row>
    <row r="633" spans="1:39" ht="15.5" outlineLevel="1">
      <c r="A633" s="526">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759"/>
      <c r="Z633" s="759"/>
      <c r="AA633" s="759"/>
      <c r="AB633" s="759"/>
      <c r="AC633" s="759"/>
      <c r="AD633" s="759"/>
      <c r="AE633" s="759"/>
      <c r="AF633" s="409"/>
      <c r="AG633" s="409"/>
      <c r="AH633" s="409"/>
      <c r="AI633" s="409"/>
      <c r="AJ633" s="409"/>
      <c r="AK633" s="409"/>
      <c r="AL633" s="409"/>
      <c r="AM633" s="296">
        <f>SUM(Y633:AL633)</f>
        <v>0</v>
      </c>
    </row>
    <row r="634" spans="1:39" ht="15.5" outlineLevel="1">
      <c r="A634" s="526"/>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760">
        <f>Y633</f>
        <v>0</v>
      </c>
      <c r="Z634" s="760">
        <f t="shared" si="1162" ref="Z634:AE634">Z633</f>
        <v>0</v>
      </c>
      <c r="AA634" s="760">
        <f t="shared" si="1162"/>
        <v>0</v>
      </c>
      <c r="AB634" s="760">
        <f t="shared" si="1162"/>
        <v>0</v>
      </c>
      <c r="AC634" s="760">
        <f t="shared" si="1162"/>
        <v>0</v>
      </c>
      <c r="AD634" s="760">
        <f t="shared" si="1162"/>
        <v>0</v>
      </c>
      <c r="AE634" s="760">
        <f t="shared" si="1162"/>
        <v>0</v>
      </c>
      <c r="AF634" s="410">
        <f t="shared" si="1163" ref="AF634:AL634">AF633</f>
        <v>0</v>
      </c>
      <c r="AG634" s="410">
        <f t="shared" si="1163"/>
        <v>0</v>
      </c>
      <c r="AH634" s="410">
        <f t="shared" si="1163"/>
        <v>0</v>
      </c>
      <c r="AI634" s="410">
        <f t="shared" si="1163"/>
        <v>0</v>
      </c>
      <c r="AJ634" s="410">
        <f t="shared" si="1163"/>
        <v>0</v>
      </c>
      <c r="AK634" s="410">
        <f t="shared" si="1163"/>
        <v>0</v>
      </c>
      <c r="AL634" s="410">
        <f t="shared" si="1163"/>
        <v>0</v>
      </c>
      <c r="AM634" s="297"/>
    </row>
    <row r="635" spans="1:39" ht="15.5" outlineLevel="1">
      <c r="A635" s="526"/>
      <c r="B635" s="315"/>
      <c r="C635" s="305"/>
      <c r="D635" s="750"/>
      <c r="E635" s="750"/>
      <c r="F635" s="750"/>
      <c r="G635" s="750"/>
      <c r="H635" s="750"/>
      <c r="I635" s="750"/>
      <c r="J635" s="750"/>
      <c r="K635" s="750"/>
      <c r="L635" s="750"/>
      <c r="M635" s="750"/>
      <c r="N635" s="750"/>
      <c r="O635" s="750"/>
      <c r="P635" s="750"/>
      <c r="Q635" s="750"/>
      <c r="R635" s="750"/>
      <c r="S635" s="750"/>
      <c r="T635" s="750"/>
      <c r="U635" s="750"/>
      <c r="V635" s="750"/>
      <c r="W635" s="750"/>
      <c r="X635" s="750"/>
      <c r="Y635" s="761"/>
      <c r="Z635" s="761"/>
      <c r="AA635" s="761"/>
      <c r="AB635" s="761"/>
      <c r="AC635" s="761"/>
      <c r="AD635" s="761"/>
      <c r="AE635" s="761"/>
      <c r="AF635" s="411"/>
      <c r="AG635" s="411"/>
      <c r="AH635" s="411"/>
      <c r="AI635" s="411"/>
      <c r="AJ635" s="411"/>
      <c r="AK635" s="411"/>
      <c r="AL635" s="411"/>
      <c r="AM635" s="306"/>
    </row>
    <row r="636" spans="1:39" s="283" customFormat="1" ht="15.5" outlineLevel="1">
      <c r="A636" s="526">
        <v>16</v>
      </c>
      <c r="B636" s="323"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759"/>
      <c r="Z636" s="759"/>
      <c r="AA636" s="759"/>
      <c r="AB636" s="759"/>
      <c r="AC636" s="759"/>
      <c r="AD636" s="759"/>
      <c r="AE636" s="759"/>
      <c r="AF636" s="409"/>
      <c r="AG636" s="409"/>
      <c r="AH636" s="409"/>
      <c r="AI636" s="409"/>
      <c r="AJ636" s="409"/>
      <c r="AK636" s="409"/>
      <c r="AL636" s="409"/>
      <c r="AM636" s="296">
        <f>SUM(Y636:AL636)</f>
        <v>0</v>
      </c>
    </row>
    <row r="637" spans="1:39" s="283" customFormat="1" ht="15.5" outlineLevel="1">
      <c r="A637" s="526"/>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760">
        <f>Y636</f>
        <v>0</v>
      </c>
      <c r="Z637" s="760">
        <f t="shared" si="1164" ref="Z637:AE637">Z636</f>
        <v>0</v>
      </c>
      <c r="AA637" s="760">
        <f t="shared" si="1164"/>
        <v>0</v>
      </c>
      <c r="AB637" s="760">
        <f t="shared" si="1164"/>
        <v>0</v>
      </c>
      <c r="AC637" s="760">
        <f t="shared" si="1164"/>
        <v>0</v>
      </c>
      <c r="AD637" s="760">
        <f t="shared" si="1164"/>
        <v>0</v>
      </c>
      <c r="AE637" s="760">
        <f t="shared" si="1164"/>
        <v>0</v>
      </c>
      <c r="AF637" s="410">
        <f t="shared" si="1165" ref="AF637:AL637">AF636</f>
        <v>0</v>
      </c>
      <c r="AG637" s="410">
        <f t="shared" si="1165"/>
        <v>0</v>
      </c>
      <c r="AH637" s="410">
        <f t="shared" si="1165"/>
        <v>0</v>
      </c>
      <c r="AI637" s="410">
        <f t="shared" si="1165"/>
        <v>0</v>
      </c>
      <c r="AJ637" s="410">
        <f t="shared" si="1165"/>
        <v>0</v>
      </c>
      <c r="AK637" s="410">
        <f t="shared" si="1165"/>
        <v>0</v>
      </c>
      <c r="AL637" s="410">
        <f t="shared" si="1165"/>
        <v>0</v>
      </c>
      <c r="AM637" s="297"/>
    </row>
    <row r="638" spans="1:39" s="283" customFormat="1" ht="15.5" outlineLevel="1">
      <c r="A638" s="526"/>
      <c r="B638" s="323"/>
      <c r="C638" s="291"/>
      <c r="D638" s="750"/>
      <c r="E638" s="750"/>
      <c r="F638" s="750"/>
      <c r="G638" s="750"/>
      <c r="H638" s="750"/>
      <c r="I638" s="750"/>
      <c r="J638" s="750"/>
      <c r="K638" s="750"/>
      <c r="L638" s="750"/>
      <c r="M638" s="750"/>
      <c r="N638" s="750"/>
      <c r="O638" s="750"/>
      <c r="P638" s="750"/>
      <c r="Q638" s="750"/>
      <c r="R638" s="750"/>
      <c r="S638" s="750"/>
      <c r="T638" s="750"/>
      <c r="U638" s="750"/>
      <c r="V638" s="750"/>
      <c r="W638" s="750"/>
      <c r="X638" s="750"/>
      <c r="Y638" s="761"/>
      <c r="Z638" s="761"/>
      <c r="AA638" s="761"/>
      <c r="AB638" s="761"/>
      <c r="AC638" s="761"/>
      <c r="AD638" s="761"/>
      <c r="AE638" s="765"/>
      <c r="AF638" s="415"/>
      <c r="AG638" s="415"/>
      <c r="AH638" s="415"/>
      <c r="AI638" s="415"/>
      <c r="AJ638" s="415"/>
      <c r="AK638" s="415"/>
      <c r="AL638" s="415"/>
      <c r="AM638" s="313"/>
    </row>
    <row r="639" spans="1:39" ht="15.5" outlineLevel="1">
      <c r="A639" s="526"/>
      <c r="B639" s="513" t="s">
        <v>495</v>
      </c>
      <c r="C639" s="319"/>
      <c r="D639" s="756"/>
      <c r="E639" s="754"/>
      <c r="F639" s="754"/>
      <c r="G639" s="754"/>
      <c r="H639" s="754"/>
      <c r="I639" s="754"/>
      <c r="J639" s="754"/>
      <c r="K639" s="754"/>
      <c r="L639" s="754"/>
      <c r="M639" s="754"/>
      <c r="N639" s="756"/>
      <c r="O639" s="754"/>
      <c r="P639" s="754"/>
      <c r="Q639" s="754"/>
      <c r="R639" s="754"/>
      <c r="S639" s="754"/>
      <c r="T639" s="754"/>
      <c r="U639" s="754"/>
      <c r="V639" s="754"/>
      <c r="W639" s="754"/>
      <c r="X639" s="754"/>
      <c r="Y639" s="763"/>
      <c r="Z639" s="763"/>
      <c r="AA639" s="763"/>
      <c r="AB639" s="763"/>
      <c r="AC639" s="763"/>
      <c r="AD639" s="763"/>
      <c r="AE639" s="763"/>
      <c r="AF639" s="413"/>
      <c r="AG639" s="413"/>
      <c r="AH639" s="413"/>
      <c r="AI639" s="413"/>
      <c r="AJ639" s="413"/>
      <c r="AK639" s="413"/>
      <c r="AL639" s="413"/>
      <c r="AM639" s="292"/>
    </row>
    <row r="640" spans="1:39" ht="15.5" outlineLevel="1">
      <c r="A640" s="526">
        <v>17</v>
      </c>
      <c r="B640" s="425"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776"/>
      <c r="Z640" s="759"/>
      <c r="AA640" s="759"/>
      <c r="AB640" s="759"/>
      <c r="AC640" s="759"/>
      <c r="AD640" s="759"/>
      <c r="AE640" s="759"/>
      <c r="AF640" s="414"/>
      <c r="AG640" s="414"/>
      <c r="AH640" s="414"/>
      <c r="AI640" s="414"/>
      <c r="AJ640" s="414"/>
      <c r="AK640" s="414"/>
      <c r="AL640" s="414"/>
      <c r="AM640" s="296">
        <f>SUM(Y640:AL640)</f>
        <v>0</v>
      </c>
    </row>
    <row r="641" spans="1:39" ht="15.5" outlineLevel="1">
      <c r="A641" s="526"/>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760">
        <f>Y640</f>
        <v>0</v>
      </c>
      <c r="Z641" s="760">
        <f t="shared" si="1166" ref="Z641:AE641">Z640</f>
        <v>0</v>
      </c>
      <c r="AA641" s="760">
        <f t="shared" si="1166"/>
        <v>0</v>
      </c>
      <c r="AB641" s="760">
        <f t="shared" si="1166"/>
        <v>0</v>
      </c>
      <c r="AC641" s="760">
        <f t="shared" si="1166"/>
        <v>0</v>
      </c>
      <c r="AD641" s="760">
        <f t="shared" si="1166"/>
        <v>0</v>
      </c>
      <c r="AE641" s="760">
        <f t="shared" si="1166"/>
        <v>0</v>
      </c>
      <c r="AF641" s="410">
        <f t="shared" si="1167" ref="AF641:AL641">AF640</f>
        <v>0</v>
      </c>
      <c r="AG641" s="410">
        <f t="shared" si="1167"/>
        <v>0</v>
      </c>
      <c r="AH641" s="410">
        <f t="shared" si="1167"/>
        <v>0</v>
      </c>
      <c r="AI641" s="410">
        <f t="shared" si="1167"/>
        <v>0</v>
      </c>
      <c r="AJ641" s="410">
        <f t="shared" si="1167"/>
        <v>0</v>
      </c>
      <c r="AK641" s="410">
        <f t="shared" si="1167"/>
        <v>0</v>
      </c>
      <c r="AL641" s="410">
        <f t="shared" si="1167"/>
        <v>0</v>
      </c>
      <c r="AM641" s="306"/>
    </row>
    <row r="642" spans="1:39" ht="15.5" outlineLevel="1">
      <c r="A642" s="526"/>
      <c r="B642" s="294"/>
      <c r="C642" s="291"/>
      <c r="D642" s="750"/>
      <c r="E642" s="750"/>
      <c r="F642" s="750"/>
      <c r="G642" s="750"/>
      <c r="H642" s="750"/>
      <c r="I642" s="750"/>
      <c r="J642" s="750"/>
      <c r="K642" s="750"/>
      <c r="L642" s="750"/>
      <c r="M642" s="750"/>
      <c r="N642" s="750"/>
      <c r="O642" s="750"/>
      <c r="P642" s="750"/>
      <c r="Q642" s="750"/>
      <c r="R642" s="750"/>
      <c r="S642" s="750"/>
      <c r="T642" s="750"/>
      <c r="U642" s="750"/>
      <c r="V642" s="750"/>
      <c r="W642" s="750"/>
      <c r="X642" s="750"/>
      <c r="Y642" s="771"/>
      <c r="Z642" s="780"/>
      <c r="AA642" s="780"/>
      <c r="AB642" s="780"/>
      <c r="AC642" s="780"/>
      <c r="AD642" s="780"/>
      <c r="AE642" s="780"/>
      <c r="AF642" s="422"/>
      <c r="AG642" s="422"/>
      <c r="AH642" s="422"/>
      <c r="AI642" s="422"/>
      <c r="AJ642" s="422"/>
      <c r="AK642" s="422"/>
      <c r="AL642" s="422"/>
      <c r="AM642" s="306"/>
    </row>
    <row r="643" spans="1:39" ht="15.5" outlineLevel="1">
      <c r="A643" s="526">
        <v>18</v>
      </c>
      <c r="B643" s="425"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776"/>
      <c r="Z643" s="759"/>
      <c r="AA643" s="759"/>
      <c r="AB643" s="759"/>
      <c r="AC643" s="759"/>
      <c r="AD643" s="759"/>
      <c r="AE643" s="759"/>
      <c r="AF643" s="414"/>
      <c r="AG643" s="414"/>
      <c r="AH643" s="414"/>
      <c r="AI643" s="414"/>
      <c r="AJ643" s="414"/>
      <c r="AK643" s="414"/>
      <c r="AL643" s="414"/>
      <c r="AM643" s="296">
        <f>SUM(Y643:AL643)</f>
        <v>0</v>
      </c>
    </row>
    <row r="644" spans="1:39" ht="15.5" outlineLevel="1">
      <c r="A644" s="526"/>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760">
        <f>Y643</f>
        <v>0</v>
      </c>
      <c r="Z644" s="760">
        <f t="shared" si="1168" ref="Z644:AE644">Z643</f>
        <v>0</v>
      </c>
      <c r="AA644" s="760">
        <f t="shared" si="1168"/>
        <v>0</v>
      </c>
      <c r="AB644" s="760">
        <f t="shared" si="1168"/>
        <v>0</v>
      </c>
      <c r="AC644" s="760">
        <f t="shared" si="1168"/>
        <v>0</v>
      </c>
      <c r="AD644" s="760">
        <f t="shared" si="1168"/>
        <v>0</v>
      </c>
      <c r="AE644" s="760">
        <f t="shared" si="1168"/>
        <v>0</v>
      </c>
      <c r="AF644" s="410">
        <f t="shared" si="1169" ref="AF644:AL644">AF643</f>
        <v>0</v>
      </c>
      <c r="AG644" s="410">
        <f t="shared" si="1169"/>
        <v>0</v>
      </c>
      <c r="AH644" s="410">
        <f t="shared" si="1169"/>
        <v>0</v>
      </c>
      <c r="AI644" s="410">
        <f t="shared" si="1169"/>
        <v>0</v>
      </c>
      <c r="AJ644" s="410">
        <f t="shared" si="1169"/>
        <v>0</v>
      </c>
      <c r="AK644" s="410">
        <f t="shared" si="1169"/>
        <v>0</v>
      </c>
      <c r="AL644" s="410">
        <f t="shared" si="1169"/>
        <v>0</v>
      </c>
      <c r="AM644" s="306"/>
    </row>
    <row r="645" spans="1:39" ht="15.5" outlineLevel="1">
      <c r="A645" s="526"/>
      <c r="B645" s="321"/>
      <c r="C645" s="291"/>
      <c r="D645" s="750"/>
      <c r="E645" s="750"/>
      <c r="F645" s="750"/>
      <c r="G645" s="750"/>
      <c r="H645" s="750"/>
      <c r="I645" s="750"/>
      <c r="J645" s="750"/>
      <c r="K645" s="750"/>
      <c r="L645" s="750"/>
      <c r="M645" s="750"/>
      <c r="N645" s="750"/>
      <c r="O645" s="750"/>
      <c r="P645" s="750"/>
      <c r="Q645" s="750"/>
      <c r="R645" s="750"/>
      <c r="S645" s="750"/>
      <c r="T645" s="750"/>
      <c r="U645" s="750"/>
      <c r="V645" s="750"/>
      <c r="W645" s="750"/>
      <c r="X645" s="750"/>
      <c r="Y645" s="772"/>
      <c r="Z645" s="773"/>
      <c r="AA645" s="773"/>
      <c r="AB645" s="773"/>
      <c r="AC645" s="773"/>
      <c r="AD645" s="773"/>
      <c r="AE645" s="773"/>
      <c r="AF645" s="421"/>
      <c r="AG645" s="421"/>
      <c r="AH645" s="421"/>
      <c r="AI645" s="421"/>
      <c r="AJ645" s="421"/>
      <c r="AK645" s="421"/>
      <c r="AL645" s="421"/>
      <c r="AM645" s="297"/>
    </row>
    <row r="646" spans="1:39" ht="15.5" outlineLevel="1">
      <c r="A646" s="526">
        <v>19</v>
      </c>
      <c r="B646" s="425"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776"/>
      <c r="Z646" s="759"/>
      <c r="AA646" s="759"/>
      <c r="AB646" s="759"/>
      <c r="AC646" s="759"/>
      <c r="AD646" s="759"/>
      <c r="AE646" s="759"/>
      <c r="AF646" s="414"/>
      <c r="AG646" s="414"/>
      <c r="AH646" s="414"/>
      <c r="AI646" s="414"/>
      <c r="AJ646" s="414"/>
      <c r="AK646" s="414"/>
      <c r="AL646" s="414"/>
      <c r="AM646" s="296">
        <f>SUM(Y646:AL646)</f>
        <v>0</v>
      </c>
    </row>
    <row r="647" spans="1:39" ht="15.5" outlineLevel="1">
      <c r="A647" s="526"/>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760">
        <f>Y646</f>
        <v>0</v>
      </c>
      <c r="Z647" s="760">
        <f t="shared" si="1170" ref="Z647:AE647">Z646</f>
        <v>0</v>
      </c>
      <c r="AA647" s="760">
        <f t="shared" si="1170"/>
        <v>0</v>
      </c>
      <c r="AB647" s="760">
        <f t="shared" si="1170"/>
        <v>0</v>
      </c>
      <c r="AC647" s="760">
        <f t="shared" si="1170"/>
        <v>0</v>
      </c>
      <c r="AD647" s="760">
        <f t="shared" si="1170"/>
        <v>0</v>
      </c>
      <c r="AE647" s="760">
        <f t="shared" si="1170"/>
        <v>0</v>
      </c>
      <c r="AF647" s="410">
        <f t="shared" si="1171" ref="AF647:AL647">AF646</f>
        <v>0</v>
      </c>
      <c r="AG647" s="410">
        <f t="shared" si="1171"/>
        <v>0</v>
      </c>
      <c r="AH647" s="410">
        <f t="shared" si="1171"/>
        <v>0</v>
      </c>
      <c r="AI647" s="410">
        <f t="shared" si="1171"/>
        <v>0</v>
      </c>
      <c r="AJ647" s="410">
        <f t="shared" si="1171"/>
        <v>0</v>
      </c>
      <c r="AK647" s="410">
        <f t="shared" si="1171"/>
        <v>0</v>
      </c>
      <c r="AL647" s="410">
        <f t="shared" si="1171"/>
        <v>0</v>
      </c>
      <c r="AM647" s="297"/>
    </row>
    <row r="648" spans="1:39" ht="15.5" outlineLevel="1">
      <c r="A648" s="526"/>
      <c r="B648" s="321"/>
      <c r="C648" s="291"/>
      <c r="D648" s="750"/>
      <c r="E648" s="750"/>
      <c r="F648" s="750"/>
      <c r="G648" s="750"/>
      <c r="H648" s="750"/>
      <c r="I648" s="750"/>
      <c r="J648" s="750"/>
      <c r="K648" s="750"/>
      <c r="L648" s="750"/>
      <c r="M648" s="750"/>
      <c r="N648" s="750"/>
      <c r="O648" s="750"/>
      <c r="P648" s="750"/>
      <c r="Q648" s="750"/>
      <c r="R648" s="750"/>
      <c r="S648" s="750"/>
      <c r="T648" s="750"/>
      <c r="U648" s="750"/>
      <c r="V648" s="750"/>
      <c r="W648" s="750"/>
      <c r="X648" s="750"/>
      <c r="Y648" s="761"/>
      <c r="Z648" s="761"/>
      <c r="AA648" s="761"/>
      <c r="AB648" s="761"/>
      <c r="AC648" s="761"/>
      <c r="AD648" s="761"/>
      <c r="AE648" s="761"/>
      <c r="AF648" s="411"/>
      <c r="AG648" s="411"/>
      <c r="AH648" s="411"/>
      <c r="AI648" s="411"/>
      <c r="AJ648" s="411"/>
      <c r="AK648" s="411"/>
      <c r="AL648" s="411"/>
      <c r="AM648" s="306"/>
    </row>
    <row r="649" spans="1:39" ht="15.5" outlineLevel="1">
      <c r="A649" s="526">
        <v>20</v>
      </c>
      <c r="B649" s="425"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776"/>
      <c r="Z649" s="759"/>
      <c r="AA649" s="759"/>
      <c r="AB649" s="759"/>
      <c r="AC649" s="759"/>
      <c r="AD649" s="759"/>
      <c r="AE649" s="759"/>
      <c r="AF649" s="414"/>
      <c r="AG649" s="414"/>
      <c r="AH649" s="414"/>
      <c r="AI649" s="414"/>
      <c r="AJ649" s="414"/>
      <c r="AK649" s="414"/>
      <c r="AL649" s="414"/>
      <c r="AM649" s="296">
        <f>SUM(Y649:AL649)</f>
        <v>0</v>
      </c>
    </row>
    <row r="650" spans="1:39" ht="15.5" outlineLevel="1">
      <c r="A650" s="526"/>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760">
        <f>Y649</f>
        <v>0</v>
      </c>
      <c r="Z650" s="760">
        <f t="shared" si="1172" ref="Z650:AE650">Z649</f>
        <v>0</v>
      </c>
      <c r="AA650" s="760">
        <f t="shared" si="1172"/>
        <v>0</v>
      </c>
      <c r="AB650" s="760">
        <f t="shared" si="1172"/>
        <v>0</v>
      </c>
      <c r="AC650" s="760">
        <f t="shared" si="1172"/>
        <v>0</v>
      </c>
      <c r="AD650" s="760">
        <f t="shared" si="1172"/>
        <v>0</v>
      </c>
      <c r="AE650" s="760">
        <f t="shared" si="1172"/>
        <v>0</v>
      </c>
      <c r="AF650" s="410">
        <f t="shared" si="1173" ref="AF650:AL650">AF649</f>
        <v>0</v>
      </c>
      <c r="AG650" s="410">
        <f t="shared" si="1173"/>
        <v>0</v>
      </c>
      <c r="AH650" s="410">
        <f t="shared" si="1173"/>
        <v>0</v>
      </c>
      <c r="AI650" s="410">
        <f t="shared" si="1173"/>
        <v>0</v>
      </c>
      <c r="AJ650" s="410">
        <f t="shared" si="1173"/>
        <v>0</v>
      </c>
      <c r="AK650" s="410">
        <f t="shared" si="1173"/>
        <v>0</v>
      </c>
      <c r="AL650" s="410">
        <f t="shared" si="1173"/>
        <v>0</v>
      </c>
      <c r="AM650" s="306"/>
    </row>
    <row r="651" spans="1:39" ht="15.5" outlineLevel="1">
      <c r="A651" s="526"/>
      <c r="B651" s="322"/>
      <c r="C651" s="300"/>
      <c r="D651" s="750"/>
      <c r="E651" s="750"/>
      <c r="F651" s="750"/>
      <c r="G651" s="750"/>
      <c r="H651" s="750"/>
      <c r="I651" s="750"/>
      <c r="J651" s="750"/>
      <c r="K651" s="750"/>
      <c r="L651" s="750"/>
      <c r="M651" s="750"/>
      <c r="N651" s="758"/>
      <c r="O651" s="750"/>
      <c r="P651" s="750"/>
      <c r="Q651" s="750"/>
      <c r="R651" s="750"/>
      <c r="S651" s="750"/>
      <c r="T651" s="750"/>
      <c r="U651" s="750"/>
      <c r="V651" s="750"/>
      <c r="W651" s="750"/>
      <c r="X651" s="750"/>
      <c r="Y651" s="761"/>
      <c r="Z651" s="761"/>
      <c r="AA651" s="761"/>
      <c r="AB651" s="761"/>
      <c r="AC651" s="761"/>
      <c r="AD651" s="761"/>
      <c r="AE651" s="761"/>
      <c r="AF651" s="411"/>
      <c r="AG651" s="411"/>
      <c r="AH651" s="411"/>
      <c r="AI651" s="411"/>
      <c r="AJ651" s="411"/>
      <c r="AK651" s="411"/>
      <c r="AL651" s="411"/>
      <c r="AM651" s="306"/>
    </row>
    <row r="652" spans="1:39" ht="15.5" outlineLevel="1">
      <c r="A652" s="526"/>
      <c r="B652" s="512" t="s">
        <v>502</v>
      </c>
      <c r="C652" s="291"/>
      <c r="D652" s="750"/>
      <c r="E652" s="750"/>
      <c r="F652" s="750"/>
      <c r="G652" s="750"/>
      <c r="H652" s="750"/>
      <c r="I652" s="750"/>
      <c r="J652" s="750"/>
      <c r="K652" s="750"/>
      <c r="L652" s="750"/>
      <c r="M652" s="750"/>
      <c r="N652" s="750"/>
      <c r="O652" s="750"/>
      <c r="P652" s="750"/>
      <c r="Q652" s="750"/>
      <c r="R652" s="750"/>
      <c r="S652" s="750"/>
      <c r="T652" s="750"/>
      <c r="U652" s="750"/>
      <c r="V652" s="750"/>
      <c r="W652" s="750"/>
      <c r="X652" s="750"/>
      <c r="Y652" s="771"/>
      <c r="Z652" s="780"/>
      <c r="AA652" s="780"/>
      <c r="AB652" s="780"/>
      <c r="AC652" s="780"/>
      <c r="AD652" s="780"/>
      <c r="AE652" s="780"/>
      <c r="AF652" s="422"/>
      <c r="AG652" s="422"/>
      <c r="AH652" s="422"/>
      <c r="AI652" s="422"/>
      <c r="AJ652" s="422"/>
      <c r="AK652" s="422"/>
      <c r="AL652" s="422"/>
      <c r="AM652" s="306"/>
    </row>
    <row r="653" spans="1:39" ht="15.5" outlineLevel="1">
      <c r="A653" s="526"/>
      <c r="B653" s="498" t="s">
        <v>498</v>
      </c>
      <c r="C653" s="291"/>
      <c r="D653" s="750"/>
      <c r="E653" s="750"/>
      <c r="F653" s="750"/>
      <c r="G653" s="750"/>
      <c r="H653" s="750"/>
      <c r="I653" s="750"/>
      <c r="J653" s="750"/>
      <c r="K653" s="750"/>
      <c r="L653" s="750"/>
      <c r="M653" s="750"/>
      <c r="N653" s="750"/>
      <c r="O653" s="750"/>
      <c r="P653" s="750"/>
      <c r="Q653" s="750"/>
      <c r="R653" s="750"/>
      <c r="S653" s="750"/>
      <c r="T653" s="750"/>
      <c r="U653" s="750"/>
      <c r="V653" s="750"/>
      <c r="W653" s="750"/>
      <c r="X653" s="750"/>
      <c r="Y653" s="771"/>
      <c r="Z653" s="780"/>
      <c r="AA653" s="780"/>
      <c r="AB653" s="780"/>
      <c r="AC653" s="780"/>
      <c r="AD653" s="780"/>
      <c r="AE653" s="780"/>
      <c r="AF653" s="422"/>
      <c r="AG653" s="422"/>
      <c r="AH653" s="422"/>
      <c r="AI653" s="422"/>
      <c r="AJ653" s="422"/>
      <c r="AK653" s="422"/>
      <c r="AL653" s="422"/>
      <c r="AM653" s="306"/>
    </row>
    <row r="654" spans="1:39" ht="15.5" outlineLevel="1">
      <c r="A654" s="526">
        <v>21</v>
      </c>
      <c r="B654" s="425" t="s">
        <v>113</v>
      </c>
      <c r="C654" s="291" t="s">
        <v>25</v>
      </c>
      <c r="D654" s="295"/>
      <c r="E654" s="295"/>
      <c r="F654" s="295"/>
      <c r="G654" s="295"/>
      <c r="H654" s="295"/>
      <c r="I654" s="295"/>
      <c r="J654" s="295"/>
      <c r="K654" s="295"/>
      <c r="L654" s="295"/>
      <c r="M654" s="295"/>
      <c r="N654" s="750"/>
      <c r="O654" s="295"/>
      <c r="P654" s="295"/>
      <c r="Q654" s="295"/>
      <c r="R654" s="295"/>
      <c r="S654" s="295"/>
      <c r="T654" s="295"/>
      <c r="U654" s="295"/>
      <c r="V654" s="295"/>
      <c r="W654" s="295"/>
      <c r="X654" s="295"/>
      <c r="Y654" s="759"/>
      <c r="Z654" s="759"/>
      <c r="AA654" s="759"/>
      <c r="AB654" s="759"/>
      <c r="AC654" s="759"/>
      <c r="AD654" s="759"/>
      <c r="AE654" s="759"/>
      <c r="AF654" s="409"/>
      <c r="AG654" s="409"/>
      <c r="AH654" s="409"/>
      <c r="AI654" s="409"/>
      <c r="AJ654" s="409"/>
      <c r="AK654" s="409"/>
      <c r="AL654" s="409"/>
      <c r="AM654" s="296">
        <f>SUM(Y654:AL654)</f>
        <v>0</v>
      </c>
    </row>
    <row r="655" spans="1:39" ht="15.5" outlineLevel="1">
      <c r="A655" s="526"/>
      <c r="B655" s="294" t="s">
        <v>310</v>
      </c>
      <c r="C655" s="291" t="s">
        <v>163</v>
      </c>
      <c r="D655" s="295"/>
      <c r="E655" s="295"/>
      <c r="F655" s="295"/>
      <c r="G655" s="295"/>
      <c r="H655" s="295"/>
      <c r="I655" s="295"/>
      <c r="J655" s="295"/>
      <c r="K655" s="295"/>
      <c r="L655" s="295"/>
      <c r="M655" s="295"/>
      <c r="N655" s="750"/>
      <c r="O655" s="295"/>
      <c r="P655" s="295"/>
      <c r="Q655" s="295"/>
      <c r="R655" s="295"/>
      <c r="S655" s="295"/>
      <c r="T655" s="295"/>
      <c r="U655" s="295"/>
      <c r="V655" s="295"/>
      <c r="W655" s="295"/>
      <c r="X655" s="295"/>
      <c r="Y655" s="760">
        <f>Y654</f>
        <v>0</v>
      </c>
      <c r="Z655" s="760">
        <f t="shared" si="1174" ref="Z655:AE655">Z654</f>
        <v>0</v>
      </c>
      <c r="AA655" s="760">
        <f t="shared" si="1174"/>
        <v>0</v>
      </c>
      <c r="AB655" s="760">
        <f t="shared" si="1174"/>
        <v>0</v>
      </c>
      <c r="AC655" s="760">
        <f t="shared" si="1174"/>
        <v>0</v>
      </c>
      <c r="AD655" s="760">
        <f t="shared" si="1174"/>
        <v>0</v>
      </c>
      <c r="AE655" s="760">
        <f t="shared" si="1174"/>
        <v>0</v>
      </c>
      <c r="AF655" s="410">
        <f t="shared" si="1175" ref="AF655">AF654</f>
        <v>0</v>
      </c>
      <c r="AG655" s="410">
        <f t="shared" si="1176" ref="AG655">AG654</f>
        <v>0</v>
      </c>
      <c r="AH655" s="410">
        <f t="shared" si="1177" ref="AH655">AH654</f>
        <v>0</v>
      </c>
      <c r="AI655" s="410">
        <f t="shared" si="1178" ref="AI655">AI654</f>
        <v>0</v>
      </c>
      <c r="AJ655" s="410">
        <f t="shared" si="1179" ref="AJ655">AJ654</f>
        <v>0</v>
      </c>
      <c r="AK655" s="410">
        <f t="shared" si="1180" ref="AK655">AK654</f>
        <v>0</v>
      </c>
      <c r="AL655" s="410">
        <f t="shared" si="1181" ref="AL655">AL654</f>
        <v>0</v>
      </c>
      <c r="AM655" s="306"/>
    </row>
    <row r="656" spans="1:39" ht="15.5" outlineLevel="1">
      <c r="A656" s="526"/>
      <c r="B656" s="294"/>
      <c r="C656" s="291"/>
      <c r="D656" s="750"/>
      <c r="E656" s="750"/>
      <c r="F656" s="750"/>
      <c r="G656" s="750"/>
      <c r="H656" s="750"/>
      <c r="I656" s="750"/>
      <c r="J656" s="750"/>
      <c r="K656" s="750"/>
      <c r="L656" s="750"/>
      <c r="M656" s="750"/>
      <c r="N656" s="750"/>
      <c r="O656" s="750"/>
      <c r="P656" s="750"/>
      <c r="Q656" s="750"/>
      <c r="R656" s="750"/>
      <c r="S656" s="750"/>
      <c r="T656" s="750"/>
      <c r="U656" s="750"/>
      <c r="V656" s="750"/>
      <c r="W656" s="750"/>
      <c r="X656" s="750"/>
      <c r="Y656" s="771"/>
      <c r="Z656" s="780"/>
      <c r="AA656" s="780"/>
      <c r="AB656" s="780"/>
      <c r="AC656" s="780"/>
      <c r="AD656" s="780"/>
      <c r="AE656" s="780"/>
      <c r="AF656" s="422"/>
      <c r="AG656" s="422"/>
      <c r="AH656" s="422"/>
      <c r="AI656" s="422"/>
      <c r="AJ656" s="422"/>
      <c r="AK656" s="422"/>
      <c r="AL656" s="422"/>
      <c r="AM656" s="306"/>
    </row>
    <row r="657" spans="1:39" ht="31" outlineLevel="1">
      <c r="A657" s="526">
        <v>22</v>
      </c>
      <c r="B657" s="425" t="s">
        <v>114</v>
      </c>
      <c r="C657" s="291" t="s">
        <v>25</v>
      </c>
      <c r="D657" s="295">
        <f>'7.  Persistence Report'!AX129</f>
        <v>193098.0665325</v>
      </c>
      <c r="E657" s="295">
        <f>'7.  Persistence Report'!AY129</f>
        <v>193098.0665325</v>
      </c>
      <c r="F657" s="295">
        <f>'7.  Persistence Report'!AZ129</f>
        <v>193098.0665325</v>
      </c>
      <c r="G657" s="295"/>
      <c r="H657" s="295"/>
      <c r="I657" s="295"/>
      <c r="J657" s="295"/>
      <c r="K657" s="295"/>
      <c r="L657" s="295"/>
      <c r="M657" s="295"/>
      <c r="N657" s="750"/>
      <c r="O657" s="295">
        <f>'7.  Persistence Report'!S129</f>
        <v>55.919802072760184</v>
      </c>
      <c r="P657" s="295">
        <f>'7.  Persistence Report'!T129</f>
        <v>55.919802072760184</v>
      </c>
      <c r="Q657" s="295">
        <f>'7.  Persistence Report'!U129</f>
        <v>55.919802072760184</v>
      </c>
      <c r="R657" s="295"/>
      <c r="S657" s="295"/>
      <c r="T657" s="295"/>
      <c r="U657" s="295"/>
      <c r="V657" s="295"/>
      <c r="W657" s="295"/>
      <c r="X657" s="295"/>
      <c r="Y657" s="759">
        <v>1</v>
      </c>
      <c r="Z657" s="759"/>
      <c r="AA657" s="759"/>
      <c r="AB657" s="759"/>
      <c r="AC657" s="759"/>
      <c r="AD657" s="759"/>
      <c r="AE657" s="759"/>
      <c r="AF657" s="409"/>
      <c r="AG657" s="409"/>
      <c r="AH657" s="409"/>
      <c r="AI657" s="409"/>
      <c r="AJ657" s="409"/>
      <c r="AK657" s="409"/>
      <c r="AL657" s="409"/>
      <c r="AM657" s="296">
        <f>SUM(Y657:AL657)</f>
        <v>1</v>
      </c>
    </row>
    <row r="658" spans="1:39" ht="15.5" outlineLevel="1">
      <c r="A658" s="526"/>
      <c r="B658" s="294" t="s">
        <v>310</v>
      </c>
      <c r="C658" s="291" t="s">
        <v>163</v>
      </c>
      <c r="D658" s="295"/>
      <c r="E658" s="295"/>
      <c r="F658" s="295"/>
      <c r="G658" s="295"/>
      <c r="H658" s="295"/>
      <c r="I658" s="295"/>
      <c r="J658" s="295"/>
      <c r="K658" s="295"/>
      <c r="L658" s="295"/>
      <c r="M658" s="295"/>
      <c r="N658" s="750"/>
      <c r="O658" s="295"/>
      <c r="P658" s="295"/>
      <c r="Q658" s="295"/>
      <c r="R658" s="295"/>
      <c r="S658" s="295"/>
      <c r="T658" s="295"/>
      <c r="U658" s="295"/>
      <c r="V658" s="295"/>
      <c r="W658" s="295"/>
      <c r="X658" s="295"/>
      <c r="Y658" s="760">
        <f>Y657</f>
        <v>1</v>
      </c>
      <c r="Z658" s="760">
        <f t="shared" si="1182" ref="Z658:AE658">Z657</f>
        <v>0</v>
      </c>
      <c r="AA658" s="760">
        <f t="shared" si="1182"/>
        <v>0</v>
      </c>
      <c r="AB658" s="760">
        <f t="shared" si="1182"/>
        <v>0</v>
      </c>
      <c r="AC658" s="760">
        <f t="shared" si="1182"/>
        <v>0</v>
      </c>
      <c r="AD658" s="760">
        <f t="shared" si="1182"/>
        <v>0</v>
      </c>
      <c r="AE658" s="760">
        <f t="shared" si="1182"/>
        <v>0</v>
      </c>
      <c r="AF658" s="410">
        <f t="shared" si="1183" ref="AF658">AF657</f>
        <v>0</v>
      </c>
      <c r="AG658" s="410">
        <f t="shared" si="1184" ref="AG658">AG657</f>
        <v>0</v>
      </c>
      <c r="AH658" s="410">
        <f t="shared" si="1185" ref="AH658">AH657</f>
        <v>0</v>
      </c>
      <c r="AI658" s="410">
        <f t="shared" si="1186" ref="AI658">AI657</f>
        <v>0</v>
      </c>
      <c r="AJ658" s="410">
        <f t="shared" si="1187" ref="AJ658">AJ657</f>
        <v>0</v>
      </c>
      <c r="AK658" s="410">
        <f t="shared" si="1188" ref="AK658">AK657</f>
        <v>0</v>
      </c>
      <c r="AL658" s="410">
        <f t="shared" si="1189" ref="AL658">AL657</f>
        <v>0</v>
      </c>
      <c r="AM658" s="306"/>
    </row>
    <row r="659" spans="1:39" ht="15.5" outlineLevel="1">
      <c r="A659" s="526"/>
      <c r="B659" s="294"/>
      <c r="C659" s="291"/>
      <c r="D659" s="750"/>
      <c r="E659" s="750"/>
      <c r="F659" s="750"/>
      <c r="G659" s="750"/>
      <c r="H659" s="750"/>
      <c r="I659" s="750"/>
      <c r="J659" s="750"/>
      <c r="K659" s="750"/>
      <c r="L659" s="750"/>
      <c r="M659" s="750"/>
      <c r="N659" s="750"/>
      <c r="O659" s="750"/>
      <c r="P659" s="750"/>
      <c r="Q659" s="750"/>
      <c r="R659" s="750"/>
      <c r="S659" s="750"/>
      <c r="T659" s="750"/>
      <c r="U659" s="750"/>
      <c r="V659" s="750"/>
      <c r="W659" s="750"/>
      <c r="X659" s="750"/>
      <c r="Y659" s="771"/>
      <c r="Z659" s="780"/>
      <c r="AA659" s="780"/>
      <c r="AB659" s="780"/>
      <c r="AC659" s="780"/>
      <c r="AD659" s="780"/>
      <c r="AE659" s="780"/>
      <c r="AF659" s="422"/>
      <c r="AG659" s="422"/>
      <c r="AH659" s="422"/>
      <c r="AI659" s="422"/>
      <c r="AJ659" s="422"/>
      <c r="AK659" s="422"/>
      <c r="AL659" s="422"/>
      <c r="AM659" s="306"/>
    </row>
    <row r="660" spans="1:39" ht="31" outlineLevel="1">
      <c r="A660" s="526">
        <v>23</v>
      </c>
      <c r="B660" s="425" t="s">
        <v>115</v>
      </c>
      <c r="C660" s="291" t="s">
        <v>25</v>
      </c>
      <c r="D660" s="295">
        <f>'7.  Persistence Report'!AX130</f>
        <v>1119233.1099898899</v>
      </c>
      <c r="E660" s="295">
        <f>'7.  Persistence Report'!AY130</f>
        <v>1114632.7036373597</v>
      </c>
      <c r="F660" s="295">
        <f>'7.  Persistence Report'!AZ130</f>
        <v>1110032.2972848297</v>
      </c>
      <c r="G660" s="295"/>
      <c r="H660" s="295"/>
      <c r="I660" s="295"/>
      <c r="J660" s="295"/>
      <c r="K660" s="295"/>
      <c r="L660" s="295"/>
      <c r="M660" s="295"/>
      <c r="N660" s="750"/>
      <c r="O660" s="295">
        <f>'7.  Persistence Report'!S130</f>
        <v>76.722509362588497</v>
      </c>
      <c r="P660" s="295">
        <f>'7.  Persistence Report'!T130</f>
        <v>77.214836107454829</v>
      </c>
      <c r="Q660" s="295">
        <f>'7.  Persistence Report'!U130</f>
        <v>76.896148506257475</v>
      </c>
      <c r="R660" s="295"/>
      <c r="S660" s="295"/>
      <c r="T660" s="295"/>
      <c r="U660" s="295"/>
      <c r="V660" s="295"/>
      <c r="W660" s="295"/>
      <c r="X660" s="295"/>
      <c r="Y660" s="759">
        <v>1</v>
      </c>
      <c r="Z660" s="759"/>
      <c r="AA660" s="759"/>
      <c r="AB660" s="759"/>
      <c r="AC660" s="759"/>
      <c r="AD660" s="759"/>
      <c r="AE660" s="759"/>
      <c r="AF660" s="409"/>
      <c r="AG660" s="409"/>
      <c r="AH660" s="409"/>
      <c r="AI660" s="409"/>
      <c r="AJ660" s="409"/>
      <c r="AK660" s="409"/>
      <c r="AL660" s="409"/>
      <c r="AM660" s="296">
        <f>SUM(Y660:AL660)</f>
        <v>1</v>
      </c>
    </row>
    <row r="661" spans="1:39" ht="15.5" outlineLevel="1">
      <c r="A661" s="526"/>
      <c r="B661" s="294" t="s">
        <v>310</v>
      </c>
      <c r="C661" s="291" t="s">
        <v>163</v>
      </c>
      <c r="D661" s="295"/>
      <c r="E661" s="295"/>
      <c r="F661" s="295"/>
      <c r="G661" s="295"/>
      <c r="H661" s="295"/>
      <c r="I661" s="295"/>
      <c r="J661" s="295"/>
      <c r="K661" s="295"/>
      <c r="L661" s="295"/>
      <c r="M661" s="295"/>
      <c r="N661" s="750"/>
      <c r="O661" s="295"/>
      <c r="P661" s="295"/>
      <c r="Q661" s="295"/>
      <c r="R661" s="295"/>
      <c r="S661" s="295"/>
      <c r="T661" s="295"/>
      <c r="U661" s="295"/>
      <c r="V661" s="295"/>
      <c r="W661" s="295"/>
      <c r="X661" s="295"/>
      <c r="Y661" s="760">
        <f>Y660</f>
        <v>1</v>
      </c>
      <c r="Z661" s="760">
        <f t="shared" si="1190" ref="Z661:AE661">Z660</f>
        <v>0</v>
      </c>
      <c r="AA661" s="760">
        <f t="shared" si="1190"/>
        <v>0</v>
      </c>
      <c r="AB661" s="760">
        <f t="shared" si="1190"/>
        <v>0</v>
      </c>
      <c r="AC661" s="760">
        <f t="shared" si="1190"/>
        <v>0</v>
      </c>
      <c r="AD661" s="760">
        <f t="shared" si="1190"/>
        <v>0</v>
      </c>
      <c r="AE661" s="760">
        <f t="shared" si="1190"/>
        <v>0</v>
      </c>
      <c r="AF661" s="410">
        <f t="shared" si="1191" ref="AF661">AF660</f>
        <v>0</v>
      </c>
      <c r="AG661" s="410">
        <f t="shared" si="1192" ref="AG661">AG660</f>
        <v>0</v>
      </c>
      <c r="AH661" s="410">
        <f t="shared" si="1193" ref="AH661">AH660</f>
        <v>0</v>
      </c>
      <c r="AI661" s="410">
        <f t="shared" si="1194" ref="AI661">AI660</f>
        <v>0</v>
      </c>
      <c r="AJ661" s="410">
        <f t="shared" si="1195" ref="AJ661">AJ660</f>
        <v>0</v>
      </c>
      <c r="AK661" s="410">
        <f t="shared" si="1196" ref="AK661">AK660</f>
        <v>0</v>
      </c>
      <c r="AL661" s="410">
        <f t="shared" si="1197" ref="AL661">AL660</f>
        <v>0</v>
      </c>
      <c r="AM661" s="306"/>
    </row>
    <row r="662" spans="1:39" ht="15.5" outlineLevel="1">
      <c r="A662" s="526"/>
      <c r="B662" s="427"/>
      <c r="C662" s="291"/>
      <c r="D662" s="750"/>
      <c r="E662" s="750"/>
      <c r="F662" s="750"/>
      <c r="G662" s="750"/>
      <c r="H662" s="750"/>
      <c r="I662" s="750"/>
      <c r="J662" s="750"/>
      <c r="K662" s="750"/>
      <c r="L662" s="750"/>
      <c r="M662" s="750"/>
      <c r="N662" s="750"/>
      <c r="O662" s="750"/>
      <c r="P662" s="750"/>
      <c r="Q662" s="750"/>
      <c r="R662" s="750"/>
      <c r="S662" s="750"/>
      <c r="T662" s="750"/>
      <c r="U662" s="750"/>
      <c r="V662" s="750"/>
      <c r="W662" s="750"/>
      <c r="X662" s="750"/>
      <c r="Y662" s="771"/>
      <c r="Z662" s="780"/>
      <c r="AA662" s="780"/>
      <c r="AB662" s="780"/>
      <c r="AC662" s="780"/>
      <c r="AD662" s="780"/>
      <c r="AE662" s="780"/>
      <c r="AF662" s="422"/>
      <c r="AG662" s="422"/>
      <c r="AH662" s="422"/>
      <c r="AI662" s="422"/>
      <c r="AJ662" s="422"/>
      <c r="AK662" s="422"/>
      <c r="AL662" s="422"/>
      <c r="AM662" s="306"/>
    </row>
    <row r="663" spans="1:39" ht="15.5" outlineLevel="1">
      <c r="A663" s="526">
        <v>24</v>
      </c>
      <c r="B663" s="425" t="s">
        <v>116</v>
      </c>
      <c r="C663" s="291" t="s">
        <v>25</v>
      </c>
      <c r="D663" s="295">
        <f>'7.  Persistence Report'!AX131</f>
        <v>57735</v>
      </c>
      <c r="E663" s="295">
        <f>'7.  Persistence Report'!AY131</f>
        <v>57735</v>
      </c>
      <c r="F663" s="295">
        <f>'7.  Persistence Report'!AZ131</f>
        <v>57735</v>
      </c>
      <c r="G663" s="295"/>
      <c r="H663" s="295"/>
      <c r="I663" s="295"/>
      <c r="J663" s="295"/>
      <c r="K663" s="295"/>
      <c r="L663" s="295"/>
      <c r="M663" s="295"/>
      <c r="N663" s="750"/>
      <c r="O663" s="295">
        <f>'7.  Persistence Report'!S131</f>
        <v>29.083810843145898</v>
      </c>
      <c r="P663" s="295">
        <f>'7.  Persistence Report'!T131</f>
        <v>29.083810843145898</v>
      </c>
      <c r="Q663" s="295">
        <f>'7.  Persistence Report'!U131</f>
        <v>29.083810843145898</v>
      </c>
      <c r="R663" s="295"/>
      <c r="S663" s="295"/>
      <c r="T663" s="295"/>
      <c r="U663" s="295"/>
      <c r="V663" s="295"/>
      <c r="W663" s="295"/>
      <c r="X663" s="295"/>
      <c r="Y663" s="759">
        <v>1</v>
      </c>
      <c r="Z663" s="759"/>
      <c r="AA663" s="759"/>
      <c r="AB663" s="759"/>
      <c r="AC663" s="759"/>
      <c r="AD663" s="759"/>
      <c r="AE663" s="759"/>
      <c r="AF663" s="409"/>
      <c r="AG663" s="409"/>
      <c r="AH663" s="409"/>
      <c r="AI663" s="409"/>
      <c r="AJ663" s="409"/>
      <c r="AK663" s="409"/>
      <c r="AL663" s="409"/>
      <c r="AM663" s="296">
        <f>SUM(Y663:AL663)</f>
        <v>1</v>
      </c>
    </row>
    <row r="664" spans="1:39" ht="15.5" outlineLevel="1">
      <c r="A664" s="526"/>
      <c r="B664" s="294" t="s">
        <v>310</v>
      </c>
      <c r="C664" s="291" t="s">
        <v>163</v>
      </c>
      <c r="D664" s="295"/>
      <c r="E664" s="295"/>
      <c r="F664" s="295"/>
      <c r="G664" s="295"/>
      <c r="H664" s="295"/>
      <c r="I664" s="295"/>
      <c r="J664" s="295"/>
      <c r="K664" s="295"/>
      <c r="L664" s="295"/>
      <c r="M664" s="295"/>
      <c r="N664" s="750"/>
      <c r="O664" s="295"/>
      <c r="P664" s="295"/>
      <c r="Q664" s="295"/>
      <c r="R664" s="295"/>
      <c r="S664" s="295"/>
      <c r="T664" s="295"/>
      <c r="U664" s="295"/>
      <c r="V664" s="295"/>
      <c r="W664" s="295"/>
      <c r="X664" s="295"/>
      <c r="Y664" s="760">
        <f>Y663</f>
        <v>1</v>
      </c>
      <c r="Z664" s="760">
        <f t="shared" si="1198" ref="Z664:AE664">Z663</f>
        <v>0</v>
      </c>
      <c r="AA664" s="760">
        <f t="shared" si="1198"/>
        <v>0</v>
      </c>
      <c r="AB664" s="760">
        <f t="shared" si="1198"/>
        <v>0</v>
      </c>
      <c r="AC664" s="760">
        <f t="shared" si="1198"/>
        <v>0</v>
      </c>
      <c r="AD664" s="760">
        <f t="shared" si="1198"/>
        <v>0</v>
      </c>
      <c r="AE664" s="760">
        <f t="shared" si="1198"/>
        <v>0</v>
      </c>
      <c r="AF664" s="410">
        <f t="shared" si="1199" ref="AF664">AF663</f>
        <v>0</v>
      </c>
      <c r="AG664" s="410">
        <f t="shared" si="1200" ref="AG664">AG663</f>
        <v>0</v>
      </c>
      <c r="AH664" s="410">
        <f t="shared" si="1201" ref="AH664">AH663</f>
        <v>0</v>
      </c>
      <c r="AI664" s="410">
        <f t="shared" si="1202" ref="AI664">AI663</f>
        <v>0</v>
      </c>
      <c r="AJ664" s="410">
        <f t="shared" si="1203" ref="AJ664">AJ663</f>
        <v>0</v>
      </c>
      <c r="AK664" s="410">
        <f t="shared" si="1204" ref="AK664">AK663</f>
        <v>0</v>
      </c>
      <c r="AL664" s="410">
        <f t="shared" si="1205" ref="AL664">AL663</f>
        <v>0</v>
      </c>
      <c r="AM664" s="306"/>
    </row>
    <row r="665" spans="1:39" ht="15.5" outlineLevel="1">
      <c r="A665" s="526"/>
      <c r="B665" s="294"/>
      <c r="C665" s="291"/>
      <c r="D665" s="750"/>
      <c r="E665" s="750"/>
      <c r="F665" s="750"/>
      <c r="G665" s="750"/>
      <c r="H665" s="750"/>
      <c r="I665" s="750"/>
      <c r="J665" s="750"/>
      <c r="K665" s="750"/>
      <c r="L665" s="750"/>
      <c r="M665" s="750"/>
      <c r="N665" s="750"/>
      <c r="O665" s="750"/>
      <c r="P665" s="750"/>
      <c r="Q665" s="750"/>
      <c r="R665" s="750"/>
      <c r="S665" s="750"/>
      <c r="T665" s="750"/>
      <c r="U665" s="750"/>
      <c r="V665" s="750"/>
      <c r="W665" s="750"/>
      <c r="X665" s="750"/>
      <c r="Y665" s="761"/>
      <c r="Z665" s="780"/>
      <c r="AA665" s="780"/>
      <c r="AB665" s="780"/>
      <c r="AC665" s="780"/>
      <c r="AD665" s="780"/>
      <c r="AE665" s="780"/>
      <c r="AF665" s="422"/>
      <c r="AG665" s="422"/>
      <c r="AH665" s="422"/>
      <c r="AI665" s="422"/>
      <c r="AJ665" s="422"/>
      <c r="AK665" s="422"/>
      <c r="AL665" s="422"/>
      <c r="AM665" s="306"/>
    </row>
    <row r="666" spans="1:39" ht="15.5" outlineLevel="1">
      <c r="A666" s="526"/>
      <c r="B666" s="288" t="s">
        <v>499</v>
      </c>
      <c r="C666" s="291"/>
      <c r="D666" s="750"/>
      <c r="E666" s="750"/>
      <c r="F666" s="750"/>
      <c r="G666" s="750"/>
      <c r="H666" s="750"/>
      <c r="I666" s="750"/>
      <c r="J666" s="750"/>
      <c r="K666" s="750"/>
      <c r="L666" s="750"/>
      <c r="M666" s="750"/>
      <c r="N666" s="750"/>
      <c r="O666" s="750"/>
      <c r="P666" s="750"/>
      <c r="Q666" s="750"/>
      <c r="R666" s="750"/>
      <c r="S666" s="750"/>
      <c r="T666" s="750"/>
      <c r="U666" s="750"/>
      <c r="V666" s="750"/>
      <c r="W666" s="750"/>
      <c r="X666" s="750"/>
      <c r="Y666" s="761"/>
      <c r="Z666" s="780"/>
      <c r="AA666" s="780"/>
      <c r="AB666" s="780"/>
      <c r="AC666" s="780"/>
      <c r="AD666" s="780"/>
      <c r="AE666" s="780"/>
      <c r="AF666" s="422"/>
      <c r="AG666" s="422"/>
      <c r="AH666" s="422"/>
      <c r="AI666" s="422"/>
      <c r="AJ666" s="422"/>
      <c r="AK666" s="422"/>
      <c r="AL666" s="422"/>
      <c r="AM666" s="306"/>
    </row>
    <row r="667" spans="1:39" ht="15.5" outlineLevel="1">
      <c r="A667" s="526">
        <v>25</v>
      </c>
      <c r="B667" s="425"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776"/>
      <c r="Z667" s="759"/>
      <c r="AA667" s="759"/>
      <c r="AB667" s="759"/>
      <c r="AC667" s="759"/>
      <c r="AD667" s="759"/>
      <c r="AE667" s="759"/>
      <c r="AF667" s="414"/>
      <c r="AG667" s="414"/>
      <c r="AH667" s="414"/>
      <c r="AI667" s="414"/>
      <c r="AJ667" s="414"/>
      <c r="AK667" s="414"/>
      <c r="AL667" s="414"/>
      <c r="AM667" s="296">
        <f>SUM(Y667:AL667)</f>
        <v>0</v>
      </c>
    </row>
    <row r="668" spans="1:39" ht="15.5" outlineLevel="1">
      <c r="A668" s="526"/>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760">
        <f>Y667</f>
        <v>0</v>
      </c>
      <c r="Z668" s="760">
        <f t="shared" si="1206" ref="Z668:AE668">Z667</f>
        <v>0</v>
      </c>
      <c r="AA668" s="760">
        <f t="shared" si="1206"/>
        <v>0</v>
      </c>
      <c r="AB668" s="760">
        <f t="shared" si="1206"/>
        <v>0</v>
      </c>
      <c r="AC668" s="760">
        <f t="shared" si="1206"/>
        <v>0</v>
      </c>
      <c r="AD668" s="760">
        <f t="shared" si="1206"/>
        <v>0</v>
      </c>
      <c r="AE668" s="760">
        <f t="shared" si="1206"/>
        <v>0</v>
      </c>
      <c r="AF668" s="410">
        <f t="shared" si="1207" ref="AF668">AF667</f>
        <v>0</v>
      </c>
      <c r="AG668" s="410">
        <f t="shared" si="1208" ref="AG668">AG667</f>
        <v>0</v>
      </c>
      <c r="AH668" s="410">
        <f t="shared" si="1209" ref="AH668">AH667</f>
        <v>0</v>
      </c>
      <c r="AI668" s="410">
        <f t="shared" si="1210" ref="AI668">AI667</f>
        <v>0</v>
      </c>
      <c r="AJ668" s="410">
        <f t="shared" si="1211" ref="AJ668">AJ667</f>
        <v>0</v>
      </c>
      <c r="AK668" s="410">
        <f t="shared" si="1212" ref="AK668">AK667</f>
        <v>0</v>
      </c>
      <c r="AL668" s="410">
        <f t="shared" si="1213" ref="AL668">AL667</f>
        <v>0</v>
      </c>
      <c r="AM668" s="306"/>
    </row>
    <row r="669" spans="1:39" ht="15.5" outlineLevel="1">
      <c r="A669" s="526"/>
      <c r="B669" s="294"/>
      <c r="C669" s="291"/>
      <c r="D669" s="750"/>
      <c r="E669" s="750"/>
      <c r="F669" s="750"/>
      <c r="G669" s="750"/>
      <c r="H669" s="750"/>
      <c r="I669" s="750"/>
      <c r="J669" s="750"/>
      <c r="K669" s="750"/>
      <c r="L669" s="750"/>
      <c r="M669" s="750"/>
      <c r="N669" s="750"/>
      <c r="O669" s="750"/>
      <c r="P669" s="750"/>
      <c r="Q669" s="750"/>
      <c r="R669" s="750"/>
      <c r="S669" s="750"/>
      <c r="T669" s="750"/>
      <c r="U669" s="750"/>
      <c r="V669" s="750"/>
      <c r="W669" s="750"/>
      <c r="X669" s="750"/>
      <c r="Y669" s="761"/>
      <c r="Z669" s="780"/>
      <c r="AA669" s="780"/>
      <c r="AB669" s="780"/>
      <c r="AC669" s="780"/>
      <c r="AD669" s="780"/>
      <c r="AE669" s="780"/>
      <c r="AF669" s="422"/>
      <c r="AG669" s="422"/>
      <c r="AH669" s="422"/>
      <c r="AI669" s="422"/>
      <c r="AJ669" s="422"/>
      <c r="AK669" s="422"/>
      <c r="AL669" s="422"/>
      <c r="AM669" s="306"/>
    </row>
    <row r="670" spans="1:39" ht="15.5" outlineLevel="1">
      <c r="A670" s="526">
        <v>26</v>
      </c>
      <c r="B670" s="425" t="s">
        <v>118</v>
      </c>
      <c r="C670" s="291" t="s">
        <v>25</v>
      </c>
      <c r="D670" s="295">
        <f>'7.  Persistence Report'!AX132</f>
        <v>1733977.6452778243</v>
      </c>
      <c r="E670" s="295">
        <f>'7.  Persistence Report'!AY132</f>
        <v>1729690.2952632695</v>
      </c>
      <c r="F670" s="295">
        <f>'7.  Persistence Report'!AZ132</f>
        <v>1725402.9452487149</v>
      </c>
      <c r="G670" s="295"/>
      <c r="H670" s="295"/>
      <c r="I670" s="295"/>
      <c r="J670" s="295"/>
      <c r="K670" s="295"/>
      <c r="L670" s="295"/>
      <c r="M670" s="295"/>
      <c r="N670" s="295">
        <v>12</v>
      </c>
      <c r="O670" s="295">
        <f>'7.  Persistence Report'!S132</f>
        <v>216.96507811967999</v>
      </c>
      <c r="P670" s="295">
        <f>'7.  Persistence Report'!T132</f>
        <v>216.9649989089082</v>
      </c>
      <c r="Q670" s="295">
        <f>'7.  Persistence Report'!U132</f>
        <v>216.42721194567133</v>
      </c>
      <c r="R670" s="295"/>
      <c r="S670" s="295"/>
      <c r="T670" s="295"/>
      <c r="U670" s="295"/>
      <c r="V670" s="295"/>
      <c r="W670" s="295"/>
      <c r="X670" s="295"/>
      <c r="Y670" s="776"/>
      <c r="Z670" s="759">
        <v>0.18110000000000001</v>
      </c>
      <c r="AA670" s="759">
        <v>0.4486</v>
      </c>
      <c r="AB670" s="759">
        <v>0.3528</v>
      </c>
      <c r="AC670" s="759"/>
      <c r="AD670" s="759"/>
      <c r="AE670" s="759">
        <v>0.017399999999999999</v>
      </c>
      <c r="AF670" s="414"/>
      <c r="AG670" s="414"/>
      <c r="AH670" s="414"/>
      <c r="AI670" s="414"/>
      <c r="AJ670" s="414"/>
      <c r="AK670" s="414"/>
      <c r="AL670" s="414"/>
      <c r="AM670" s="296">
        <f>SUM(Y670:AL670)</f>
        <v>0.99990000000000001</v>
      </c>
    </row>
    <row r="671" spans="1:39" ht="15.5" outlineLevel="1">
      <c r="A671" s="526"/>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760">
        <f>Y670</f>
        <v>0</v>
      </c>
      <c r="Z671" s="760">
        <f t="shared" si="1214" ref="Z671:AE671">Z670</f>
        <v>0.18110000000000001</v>
      </c>
      <c r="AA671" s="760">
        <f t="shared" si="1214"/>
        <v>0.4486</v>
      </c>
      <c r="AB671" s="760">
        <f t="shared" si="1214"/>
        <v>0.3528</v>
      </c>
      <c r="AC671" s="760">
        <f t="shared" si="1214"/>
        <v>0</v>
      </c>
      <c r="AD671" s="760">
        <f t="shared" si="1214"/>
        <v>0</v>
      </c>
      <c r="AE671" s="760">
        <f t="shared" si="1214"/>
        <v>0.017399999999999999</v>
      </c>
      <c r="AF671" s="410">
        <f t="shared" si="1215" ref="AF671">AF670</f>
        <v>0</v>
      </c>
      <c r="AG671" s="410">
        <f t="shared" si="1216" ref="AG671">AG670</f>
        <v>0</v>
      </c>
      <c r="AH671" s="410">
        <f t="shared" si="1217" ref="AH671">AH670</f>
        <v>0</v>
      </c>
      <c r="AI671" s="410">
        <f t="shared" si="1218" ref="AI671">AI670</f>
        <v>0</v>
      </c>
      <c r="AJ671" s="410">
        <f t="shared" si="1219" ref="AJ671">AJ670</f>
        <v>0</v>
      </c>
      <c r="AK671" s="410">
        <f t="shared" si="1220" ref="AK671">AK670</f>
        <v>0</v>
      </c>
      <c r="AL671" s="410">
        <f t="shared" si="1221" ref="AL671">AL670</f>
        <v>0</v>
      </c>
      <c r="AM671" s="306"/>
    </row>
    <row r="672" spans="1:39" ht="15.5" outlineLevel="1">
      <c r="A672" s="526"/>
      <c r="B672" s="294"/>
      <c r="C672" s="291"/>
      <c r="D672" s="750"/>
      <c r="E672" s="750"/>
      <c r="F672" s="750"/>
      <c r="G672" s="750"/>
      <c r="H672" s="750"/>
      <c r="I672" s="750"/>
      <c r="J672" s="750"/>
      <c r="K672" s="750"/>
      <c r="L672" s="750"/>
      <c r="M672" s="750"/>
      <c r="N672" s="750"/>
      <c r="O672" s="750"/>
      <c r="P672" s="750"/>
      <c r="Q672" s="750"/>
      <c r="R672" s="750"/>
      <c r="S672" s="750"/>
      <c r="T672" s="750"/>
      <c r="U672" s="750"/>
      <c r="V672" s="750"/>
      <c r="W672" s="750"/>
      <c r="X672" s="750"/>
      <c r="Y672" s="761"/>
      <c r="Z672" s="780"/>
      <c r="AA672" s="780"/>
      <c r="AB672" s="780"/>
      <c r="AC672" s="780"/>
      <c r="AD672" s="780"/>
      <c r="AE672" s="780"/>
      <c r="AF672" s="422"/>
      <c r="AG672" s="422"/>
      <c r="AH672" s="422"/>
      <c r="AI672" s="422"/>
      <c r="AJ672" s="422"/>
      <c r="AK672" s="422"/>
      <c r="AL672" s="422"/>
      <c r="AM672" s="306"/>
    </row>
    <row r="673" spans="1:39" ht="31" outlineLevel="1">
      <c r="A673" s="526">
        <v>27</v>
      </c>
      <c r="B673" s="425" t="s">
        <v>119</v>
      </c>
      <c r="C673" s="291" t="s">
        <v>25</v>
      </c>
      <c r="D673" s="295">
        <f>'7.  Persistence Report'!AX135</f>
        <v>39331.281025960474</v>
      </c>
      <c r="E673" s="295">
        <f>'7.  Persistence Report'!AY135</f>
        <v>32310.41980808655</v>
      </c>
      <c r="F673" s="295">
        <f>'7.  Persistence Report'!AZ135</f>
        <v>25289.558590212626</v>
      </c>
      <c r="G673" s="295"/>
      <c r="H673" s="295"/>
      <c r="I673" s="295"/>
      <c r="J673" s="295"/>
      <c r="K673" s="295"/>
      <c r="L673" s="295"/>
      <c r="M673" s="295"/>
      <c r="N673" s="295">
        <v>12</v>
      </c>
      <c r="O673" s="295">
        <f>'7.  Persistence Report'!S135</f>
        <v>10.081837822221967</v>
      </c>
      <c r="P673" s="295">
        <f>'7.  Persistence Report'!T135</f>
        <v>8.2821714415563452</v>
      </c>
      <c r="Q673" s="295">
        <f>'7.  Persistence Report'!U135</f>
        <v>6.4825050608907242</v>
      </c>
      <c r="R673" s="295"/>
      <c r="S673" s="295"/>
      <c r="T673" s="295"/>
      <c r="U673" s="295"/>
      <c r="V673" s="295"/>
      <c r="W673" s="295"/>
      <c r="X673" s="295"/>
      <c r="Y673" s="776"/>
      <c r="Z673" s="782">
        <f>Z670/SUM($Z$670:$AB$670)</f>
        <v>0.18432569974554708</v>
      </c>
      <c r="AA673" s="782">
        <f t="shared" si="1222" ref="AA673">AA670/SUM($Z$670:$AB$670)</f>
        <v>0.45659033078880407</v>
      </c>
      <c r="AB673" s="782">
        <f>AB670/SUM($Z$670:$AB$670)</f>
        <v>0.35908396946564886</v>
      </c>
      <c r="AC673" s="759"/>
      <c r="AD673" s="759"/>
      <c r="AE673" s="759"/>
      <c r="AF673" s="414"/>
      <c r="AG673" s="414"/>
      <c r="AH673" s="414"/>
      <c r="AI673" s="414"/>
      <c r="AJ673" s="414"/>
      <c r="AK673" s="414"/>
      <c r="AL673" s="414"/>
      <c r="AM673" s="296">
        <f>SUM(Y673:AL673)</f>
        <v>1</v>
      </c>
    </row>
    <row r="674" spans="1:39" ht="15.5" outlineLevel="1">
      <c r="A674" s="526"/>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760">
        <f>Y673</f>
        <v>0</v>
      </c>
      <c r="Z674" s="760">
        <f t="shared" si="1223" ref="Z674:AE674">Z673</f>
        <v>0.18432569974554708</v>
      </c>
      <c r="AA674" s="760">
        <f t="shared" si="1223"/>
        <v>0.45659033078880407</v>
      </c>
      <c r="AB674" s="760">
        <f t="shared" si="1223"/>
        <v>0.35908396946564886</v>
      </c>
      <c r="AC674" s="760">
        <f t="shared" si="1223"/>
        <v>0</v>
      </c>
      <c r="AD674" s="760">
        <f t="shared" si="1223"/>
        <v>0</v>
      </c>
      <c r="AE674" s="760">
        <f t="shared" si="1223"/>
        <v>0</v>
      </c>
      <c r="AF674" s="410">
        <f t="shared" si="1224" ref="AF674">AF673</f>
        <v>0</v>
      </c>
      <c r="AG674" s="410">
        <f t="shared" si="1225" ref="AG674">AG673</f>
        <v>0</v>
      </c>
      <c r="AH674" s="410">
        <f t="shared" si="1226" ref="AH674">AH673</f>
        <v>0</v>
      </c>
      <c r="AI674" s="410">
        <f t="shared" si="1227" ref="AI674">AI673</f>
        <v>0</v>
      </c>
      <c r="AJ674" s="410">
        <f t="shared" si="1228" ref="AJ674">AJ673</f>
        <v>0</v>
      </c>
      <c r="AK674" s="410">
        <f t="shared" si="1229" ref="AK674">AK673</f>
        <v>0</v>
      </c>
      <c r="AL674" s="410">
        <f t="shared" si="1230" ref="AL674">AL673</f>
        <v>0</v>
      </c>
      <c r="AM674" s="306"/>
    </row>
    <row r="675" spans="1:39" ht="15.5" outlineLevel="1">
      <c r="A675" s="526"/>
      <c r="B675" s="294"/>
      <c r="C675" s="291"/>
      <c r="D675" s="750"/>
      <c r="E675" s="750"/>
      <c r="F675" s="750"/>
      <c r="G675" s="750"/>
      <c r="H675" s="750"/>
      <c r="I675" s="750"/>
      <c r="J675" s="750"/>
      <c r="K675" s="750"/>
      <c r="L675" s="750"/>
      <c r="M675" s="750"/>
      <c r="N675" s="750"/>
      <c r="O675" s="750"/>
      <c r="P675" s="750"/>
      <c r="Q675" s="750"/>
      <c r="R675" s="750"/>
      <c r="S675" s="750"/>
      <c r="T675" s="750"/>
      <c r="U675" s="750"/>
      <c r="V675" s="750"/>
      <c r="W675" s="750"/>
      <c r="X675" s="750"/>
      <c r="Y675" s="761"/>
      <c r="Z675" s="780"/>
      <c r="AA675" s="780"/>
      <c r="AB675" s="780"/>
      <c r="AC675" s="780"/>
      <c r="AD675" s="780"/>
      <c r="AE675" s="780"/>
      <c r="AF675" s="422"/>
      <c r="AG675" s="422"/>
      <c r="AH675" s="422"/>
      <c r="AI675" s="422"/>
      <c r="AJ675" s="422"/>
      <c r="AK675" s="422"/>
      <c r="AL675" s="422"/>
      <c r="AM675" s="306"/>
    </row>
    <row r="676" spans="1:39" ht="31" outlineLevel="1">
      <c r="A676" s="526">
        <v>28</v>
      </c>
      <c r="B676" s="425" t="s">
        <v>120</v>
      </c>
      <c r="C676" s="291" t="s">
        <v>25</v>
      </c>
      <c r="D676" s="295">
        <f>'7.  Persistence Report'!AX133</f>
        <v>31041.669251232775</v>
      </c>
      <c r="E676" s="295">
        <f>'7.  Persistence Report'!AY133</f>
        <v>30887.64462627492</v>
      </c>
      <c r="F676" s="295">
        <f>'7.  Persistence Report'!AZ133</f>
        <v>30733.620001317064</v>
      </c>
      <c r="G676" s="295"/>
      <c r="H676" s="295"/>
      <c r="I676" s="295"/>
      <c r="J676" s="295"/>
      <c r="K676" s="295"/>
      <c r="L676" s="295"/>
      <c r="M676" s="295"/>
      <c r="N676" s="295">
        <v>12</v>
      </c>
      <c r="O676" s="295">
        <f>'7.  Persistence Report'!S133</f>
        <v>5.9875177733378306</v>
      </c>
      <c r="P676" s="295">
        <f>'7.  Persistence Report'!T133</f>
        <v>5.9578085082850105</v>
      </c>
      <c r="Q676" s="295">
        <f>'7.  Persistence Report'!U133</f>
        <v>5.9280992432321904</v>
      </c>
      <c r="R676" s="295"/>
      <c r="S676" s="295"/>
      <c r="T676" s="295"/>
      <c r="U676" s="295"/>
      <c r="V676" s="295"/>
      <c r="W676" s="295"/>
      <c r="X676" s="295"/>
      <c r="Y676" s="776"/>
      <c r="Z676" s="759"/>
      <c r="AA676" s="759"/>
      <c r="AB676" s="759">
        <v>1</v>
      </c>
      <c r="AC676" s="759"/>
      <c r="AD676" s="759"/>
      <c r="AE676" s="759"/>
      <c r="AF676" s="414"/>
      <c r="AG676" s="414"/>
      <c r="AH676" s="414"/>
      <c r="AI676" s="414"/>
      <c r="AJ676" s="414"/>
      <c r="AK676" s="414"/>
      <c r="AL676" s="414"/>
      <c r="AM676" s="296">
        <f>SUM(Y676:AL676)</f>
        <v>1</v>
      </c>
    </row>
    <row r="677" spans="1:39" ht="15.5" outlineLevel="1">
      <c r="A677" s="526"/>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760">
        <f>Y676</f>
        <v>0</v>
      </c>
      <c r="Z677" s="760">
        <f t="shared" si="1231" ref="Z677:AE677">Z676</f>
        <v>0</v>
      </c>
      <c r="AA677" s="760">
        <f t="shared" si="1231"/>
        <v>0</v>
      </c>
      <c r="AB677" s="760">
        <f t="shared" si="1231"/>
        <v>1</v>
      </c>
      <c r="AC677" s="760">
        <f t="shared" si="1231"/>
        <v>0</v>
      </c>
      <c r="AD677" s="760">
        <f t="shared" si="1231"/>
        <v>0</v>
      </c>
      <c r="AE677" s="760">
        <f t="shared" si="1231"/>
        <v>0</v>
      </c>
      <c r="AF677" s="410">
        <f t="shared" si="1232" ref="AF677">AF676</f>
        <v>0</v>
      </c>
      <c r="AG677" s="410">
        <f t="shared" si="1233" ref="AG677">AG676</f>
        <v>0</v>
      </c>
      <c r="AH677" s="410">
        <f t="shared" si="1234" ref="AH677">AH676</f>
        <v>0</v>
      </c>
      <c r="AI677" s="410">
        <f t="shared" si="1235" ref="AI677">AI676</f>
        <v>0</v>
      </c>
      <c r="AJ677" s="410">
        <f t="shared" si="1236" ref="AJ677">AJ676</f>
        <v>0</v>
      </c>
      <c r="AK677" s="410">
        <f t="shared" si="1237" ref="AK677">AK676</f>
        <v>0</v>
      </c>
      <c r="AL677" s="410">
        <f t="shared" si="1238" ref="AL677">AL676</f>
        <v>0</v>
      </c>
      <c r="AM677" s="306"/>
    </row>
    <row r="678" spans="1:39" ht="15.5" outlineLevel="1">
      <c r="A678" s="526"/>
      <c r="B678" s="294"/>
      <c r="C678" s="291"/>
      <c r="D678" s="750"/>
      <c r="E678" s="750"/>
      <c r="F678" s="750"/>
      <c r="G678" s="750"/>
      <c r="H678" s="750"/>
      <c r="I678" s="750"/>
      <c r="J678" s="750"/>
      <c r="K678" s="750"/>
      <c r="L678" s="750"/>
      <c r="M678" s="750"/>
      <c r="N678" s="750"/>
      <c r="O678" s="750"/>
      <c r="P678" s="750"/>
      <c r="Q678" s="750"/>
      <c r="R678" s="750"/>
      <c r="S678" s="750"/>
      <c r="T678" s="750"/>
      <c r="U678" s="750"/>
      <c r="V678" s="750"/>
      <c r="W678" s="750"/>
      <c r="X678" s="750"/>
      <c r="Y678" s="761"/>
      <c r="Z678" s="780"/>
      <c r="AA678" s="780"/>
      <c r="AB678" s="780"/>
      <c r="AC678" s="780"/>
      <c r="AD678" s="780"/>
      <c r="AE678" s="780"/>
      <c r="AF678" s="422"/>
      <c r="AG678" s="422"/>
      <c r="AH678" s="422"/>
      <c r="AI678" s="422"/>
      <c r="AJ678" s="422"/>
      <c r="AK678" s="422"/>
      <c r="AL678" s="422"/>
      <c r="AM678" s="306"/>
    </row>
    <row r="679" spans="1:39" ht="31" outlineLevel="1">
      <c r="A679" s="526">
        <v>29</v>
      </c>
      <c r="B679" s="425"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776"/>
      <c r="Z679" s="759"/>
      <c r="AA679" s="759"/>
      <c r="AB679" s="759"/>
      <c r="AC679" s="759"/>
      <c r="AD679" s="759"/>
      <c r="AE679" s="759"/>
      <c r="AF679" s="414"/>
      <c r="AG679" s="414"/>
      <c r="AH679" s="414"/>
      <c r="AI679" s="414"/>
      <c r="AJ679" s="414"/>
      <c r="AK679" s="414"/>
      <c r="AL679" s="414"/>
      <c r="AM679" s="296">
        <f>SUM(Y679:AL679)</f>
        <v>0</v>
      </c>
    </row>
    <row r="680" spans="1:39" ht="15.5" outlineLevel="1">
      <c r="A680" s="526"/>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760">
        <f>Y679</f>
        <v>0</v>
      </c>
      <c r="Z680" s="760">
        <f t="shared" si="1239" ref="Z680:AE680">Z679</f>
        <v>0</v>
      </c>
      <c r="AA680" s="760">
        <f t="shared" si="1239"/>
        <v>0</v>
      </c>
      <c r="AB680" s="760">
        <f t="shared" si="1239"/>
        <v>0</v>
      </c>
      <c r="AC680" s="760">
        <f t="shared" si="1239"/>
        <v>0</v>
      </c>
      <c r="AD680" s="760">
        <f t="shared" si="1239"/>
        <v>0</v>
      </c>
      <c r="AE680" s="760">
        <f t="shared" si="1239"/>
        <v>0</v>
      </c>
      <c r="AF680" s="410">
        <f t="shared" si="1240" ref="AF680">AF679</f>
        <v>0</v>
      </c>
      <c r="AG680" s="410">
        <f t="shared" si="1241" ref="AG680">AG679</f>
        <v>0</v>
      </c>
      <c r="AH680" s="410">
        <f t="shared" si="1242" ref="AH680">AH679</f>
        <v>0</v>
      </c>
      <c r="AI680" s="410">
        <f t="shared" si="1243" ref="AI680">AI679</f>
        <v>0</v>
      </c>
      <c r="AJ680" s="410">
        <f t="shared" si="1244" ref="AJ680">AJ679</f>
        <v>0</v>
      </c>
      <c r="AK680" s="410">
        <f t="shared" si="1245" ref="AK680">AK679</f>
        <v>0</v>
      </c>
      <c r="AL680" s="410">
        <f t="shared" si="1246" ref="AL680">AL679</f>
        <v>0</v>
      </c>
      <c r="AM680" s="306"/>
    </row>
    <row r="681" spans="1:39" ht="15.5" outlineLevel="1">
      <c r="A681" s="526"/>
      <c r="B681" s="294"/>
      <c r="C681" s="291"/>
      <c r="D681" s="750"/>
      <c r="E681" s="750"/>
      <c r="F681" s="750"/>
      <c r="G681" s="750"/>
      <c r="H681" s="750"/>
      <c r="I681" s="750"/>
      <c r="J681" s="750"/>
      <c r="K681" s="750"/>
      <c r="L681" s="750"/>
      <c r="M681" s="750"/>
      <c r="N681" s="750"/>
      <c r="O681" s="750"/>
      <c r="P681" s="750"/>
      <c r="Q681" s="750"/>
      <c r="R681" s="750"/>
      <c r="S681" s="750"/>
      <c r="T681" s="750"/>
      <c r="U681" s="750"/>
      <c r="V681" s="750"/>
      <c r="W681" s="750"/>
      <c r="X681" s="750"/>
      <c r="Y681" s="761"/>
      <c r="Z681" s="780"/>
      <c r="AA681" s="780"/>
      <c r="AB681" s="780"/>
      <c r="AC681" s="780"/>
      <c r="AD681" s="780"/>
      <c r="AE681" s="780"/>
      <c r="AF681" s="422"/>
      <c r="AG681" s="422"/>
      <c r="AH681" s="422"/>
      <c r="AI681" s="422"/>
      <c r="AJ681" s="422"/>
      <c r="AK681" s="422"/>
      <c r="AL681" s="422"/>
      <c r="AM681" s="306"/>
    </row>
    <row r="682" spans="1:39" ht="31" outlineLevel="1">
      <c r="A682" s="526">
        <v>30</v>
      </c>
      <c r="B682" s="425"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776"/>
      <c r="Z682" s="759"/>
      <c r="AA682" s="759"/>
      <c r="AB682" s="759"/>
      <c r="AC682" s="759"/>
      <c r="AD682" s="759"/>
      <c r="AE682" s="759"/>
      <c r="AF682" s="414"/>
      <c r="AG682" s="414"/>
      <c r="AH682" s="414"/>
      <c r="AI682" s="414"/>
      <c r="AJ682" s="414"/>
      <c r="AK682" s="414"/>
      <c r="AL682" s="414"/>
      <c r="AM682" s="296">
        <f>SUM(Y682:AL682)</f>
        <v>0</v>
      </c>
    </row>
    <row r="683" spans="1:39" ht="15.5" outlineLevel="1">
      <c r="A683" s="526"/>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760">
        <f>Y682</f>
        <v>0</v>
      </c>
      <c r="Z683" s="760">
        <f t="shared" si="1247" ref="Z683:AE683">Z682</f>
        <v>0</v>
      </c>
      <c r="AA683" s="760">
        <f t="shared" si="1247"/>
        <v>0</v>
      </c>
      <c r="AB683" s="760">
        <f t="shared" si="1247"/>
        <v>0</v>
      </c>
      <c r="AC683" s="760">
        <f t="shared" si="1247"/>
        <v>0</v>
      </c>
      <c r="AD683" s="760">
        <f t="shared" si="1247"/>
        <v>0</v>
      </c>
      <c r="AE683" s="760">
        <f t="shared" si="1247"/>
        <v>0</v>
      </c>
      <c r="AF683" s="410">
        <f t="shared" si="1248" ref="AF683">AF682</f>
        <v>0</v>
      </c>
      <c r="AG683" s="410">
        <f t="shared" si="1249" ref="AG683">AG682</f>
        <v>0</v>
      </c>
      <c r="AH683" s="410">
        <f t="shared" si="1250" ref="AH683">AH682</f>
        <v>0</v>
      </c>
      <c r="AI683" s="410">
        <f t="shared" si="1251" ref="AI683">AI682</f>
        <v>0</v>
      </c>
      <c r="AJ683" s="410">
        <f t="shared" si="1252" ref="AJ683">AJ682</f>
        <v>0</v>
      </c>
      <c r="AK683" s="410">
        <f t="shared" si="1253" ref="AK683">AK682</f>
        <v>0</v>
      </c>
      <c r="AL683" s="410">
        <f t="shared" si="1254" ref="AL683">AL682</f>
        <v>0</v>
      </c>
      <c r="AM683" s="306"/>
    </row>
    <row r="684" spans="1:39" ht="15.5" outlineLevel="1">
      <c r="A684" s="526"/>
      <c r="B684" s="294"/>
      <c r="C684" s="291"/>
      <c r="D684" s="750"/>
      <c r="E684" s="750"/>
      <c r="F684" s="750"/>
      <c r="G684" s="750"/>
      <c r="H684" s="750"/>
      <c r="I684" s="750"/>
      <c r="J684" s="750"/>
      <c r="K684" s="750"/>
      <c r="L684" s="750"/>
      <c r="M684" s="750"/>
      <c r="N684" s="750"/>
      <c r="O684" s="750"/>
      <c r="P684" s="750"/>
      <c r="Q684" s="750"/>
      <c r="R684" s="750"/>
      <c r="S684" s="750"/>
      <c r="T684" s="750"/>
      <c r="U684" s="750"/>
      <c r="V684" s="750"/>
      <c r="W684" s="750"/>
      <c r="X684" s="750"/>
      <c r="Y684" s="761"/>
      <c r="Z684" s="780"/>
      <c r="AA684" s="780"/>
      <c r="AB684" s="780"/>
      <c r="AC684" s="780"/>
      <c r="AD684" s="780"/>
      <c r="AE684" s="780"/>
      <c r="AF684" s="422"/>
      <c r="AG684" s="422"/>
      <c r="AH684" s="422"/>
      <c r="AI684" s="422"/>
      <c r="AJ684" s="422"/>
      <c r="AK684" s="422"/>
      <c r="AL684" s="422"/>
      <c r="AM684" s="306"/>
    </row>
    <row r="685" spans="1:39" ht="31" outlineLevel="1">
      <c r="A685" s="526">
        <v>31</v>
      </c>
      <c r="B685" s="425"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776"/>
      <c r="Z685" s="759"/>
      <c r="AA685" s="759"/>
      <c r="AB685" s="759"/>
      <c r="AC685" s="759"/>
      <c r="AD685" s="759"/>
      <c r="AE685" s="759"/>
      <c r="AF685" s="414"/>
      <c r="AG685" s="414"/>
      <c r="AH685" s="414"/>
      <c r="AI685" s="414"/>
      <c r="AJ685" s="414"/>
      <c r="AK685" s="414"/>
      <c r="AL685" s="414"/>
      <c r="AM685" s="296">
        <f>SUM(Y685:AL685)</f>
        <v>0</v>
      </c>
    </row>
    <row r="686" spans="1:39" ht="15.5" outlineLevel="1">
      <c r="A686" s="526"/>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760">
        <f>Y685</f>
        <v>0</v>
      </c>
      <c r="Z686" s="760">
        <f t="shared" si="1255" ref="Z686:AE686">Z685</f>
        <v>0</v>
      </c>
      <c r="AA686" s="760">
        <f t="shared" si="1255"/>
        <v>0</v>
      </c>
      <c r="AB686" s="760">
        <f t="shared" si="1255"/>
        <v>0</v>
      </c>
      <c r="AC686" s="760">
        <f t="shared" si="1255"/>
        <v>0</v>
      </c>
      <c r="AD686" s="760">
        <f t="shared" si="1255"/>
        <v>0</v>
      </c>
      <c r="AE686" s="760">
        <f t="shared" si="1255"/>
        <v>0</v>
      </c>
      <c r="AF686" s="410">
        <f t="shared" si="1256" ref="AF686">AF685</f>
        <v>0</v>
      </c>
      <c r="AG686" s="410">
        <f t="shared" si="1257" ref="AG686">AG685</f>
        <v>0</v>
      </c>
      <c r="AH686" s="410">
        <f t="shared" si="1258" ref="AH686">AH685</f>
        <v>0</v>
      </c>
      <c r="AI686" s="410">
        <f t="shared" si="1259" ref="AI686">AI685</f>
        <v>0</v>
      </c>
      <c r="AJ686" s="410">
        <f t="shared" si="1260" ref="AJ686">AJ685</f>
        <v>0</v>
      </c>
      <c r="AK686" s="410">
        <f t="shared" si="1261" ref="AK686">AK685</f>
        <v>0</v>
      </c>
      <c r="AL686" s="410">
        <f t="shared" si="1262" ref="AL686">AL685</f>
        <v>0</v>
      </c>
      <c r="AM686" s="306"/>
    </row>
    <row r="687" spans="1:39" ht="15.5" outlineLevel="1">
      <c r="A687" s="526"/>
      <c r="B687" s="425"/>
      <c r="C687" s="291"/>
      <c r="D687" s="750"/>
      <c r="E687" s="750"/>
      <c r="F687" s="750"/>
      <c r="G687" s="750"/>
      <c r="H687" s="750"/>
      <c r="I687" s="750"/>
      <c r="J687" s="750"/>
      <c r="K687" s="750"/>
      <c r="L687" s="750"/>
      <c r="M687" s="750"/>
      <c r="N687" s="750"/>
      <c r="O687" s="750"/>
      <c r="P687" s="750"/>
      <c r="Q687" s="750"/>
      <c r="R687" s="750"/>
      <c r="S687" s="750"/>
      <c r="T687" s="750"/>
      <c r="U687" s="750"/>
      <c r="V687" s="750"/>
      <c r="W687" s="750"/>
      <c r="X687" s="750"/>
      <c r="Y687" s="761"/>
      <c r="Z687" s="780"/>
      <c r="AA687" s="780"/>
      <c r="AB687" s="780"/>
      <c r="AC687" s="780"/>
      <c r="AD687" s="780"/>
      <c r="AE687" s="780"/>
      <c r="AF687" s="422"/>
      <c r="AG687" s="422"/>
      <c r="AH687" s="422"/>
      <c r="AI687" s="422"/>
      <c r="AJ687" s="422"/>
      <c r="AK687" s="422"/>
      <c r="AL687" s="422"/>
      <c r="AM687" s="306"/>
    </row>
    <row r="688" spans="1:39" ht="15.5" outlineLevel="1">
      <c r="A688" s="526">
        <v>32</v>
      </c>
      <c r="B688" s="425"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776"/>
      <c r="Z688" s="759"/>
      <c r="AA688" s="759"/>
      <c r="AB688" s="759"/>
      <c r="AC688" s="759"/>
      <c r="AD688" s="759"/>
      <c r="AE688" s="759"/>
      <c r="AF688" s="414"/>
      <c r="AG688" s="414"/>
      <c r="AH688" s="414"/>
      <c r="AI688" s="414"/>
      <c r="AJ688" s="414"/>
      <c r="AK688" s="414"/>
      <c r="AL688" s="414"/>
      <c r="AM688" s="296">
        <f>SUM(Y688:AL688)</f>
        <v>0</v>
      </c>
    </row>
    <row r="689" spans="1:39" ht="15.5" outlineLevel="1">
      <c r="A689" s="526"/>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760">
        <f>Y688</f>
        <v>0</v>
      </c>
      <c r="Z689" s="760">
        <f t="shared" si="1263" ref="Z689:AE689">Z688</f>
        <v>0</v>
      </c>
      <c r="AA689" s="760">
        <f t="shared" si="1263"/>
        <v>0</v>
      </c>
      <c r="AB689" s="760">
        <f t="shared" si="1263"/>
        <v>0</v>
      </c>
      <c r="AC689" s="760">
        <f t="shared" si="1263"/>
        <v>0</v>
      </c>
      <c r="AD689" s="760">
        <f t="shared" si="1263"/>
        <v>0</v>
      </c>
      <c r="AE689" s="760">
        <f t="shared" si="1263"/>
        <v>0</v>
      </c>
      <c r="AF689" s="410">
        <f t="shared" si="1264" ref="AF689">AF688</f>
        <v>0</v>
      </c>
      <c r="AG689" s="410">
        <f t="shared" si="1265" ref="AG689">AG688</f>
        <v>0</v>
      </c>
      <c r="AH689" s="410">
        <f t="shared" si="1266" ref="AH689">AH688</f>
        <v>0</v>
      </c>
      <c r="AI689" s="410">
        <f t="shared" si="1267" ref="AI689">AI688</f>
        <v>0</v>
      </c>
      <c r="AJ689" s="410">
        <f t="shared" si="1268" ref="AJ689">AJ688</f>
        <v>0</v>
      </c>
      <c r="AK689" s="410">
        <f t="shared" si="1269" ref="AK689">AK688</f>
        <v>0</v>
      </c>
      <c r="AL689" s="410">
        <f t="shared" si="1270" ref="AL689">AL688</f>
        <v>0</v>
      </c>
      <c r="AM689" s="306"/>
    </row>
    <row r="690" spans="1:39" ht="15.5" outlineLevel="1">
      <c r="A690" s="526"/>
      <c r="B690" s="425"/>
      <c r="C690" s="291"/>
      <c r="D690" s="750"/>
      <c r="E690" s="750"/>
      <c r="F690" s="750"/>
      <c r="G690" s="750"/>
      <c r="H690" s="750"/>
      <c r="I690" s="750"/>
      <c r="J690" s="750"/>
      <c r="K690" s="750"/>
      <c r="L690" s="750"/>
      <c r="M690" s="750"/>
      <c r="N690" s="750"/>
      <c r="O690" s="750"/>
      <c r="P690" s="750"/>
      <c r="Q690" s="750"/>
      <c r="R690" s="750"/>
      <c r="S690" s="750"/>
      <c r="T690" s="750"/>
      <c r="U690" s="750"/>
      <c r="V690" s="750"/>
      <c r="W690" s="750"/>
      <c r="X690" s="750"/>
      <c r="Y690" s="761"/>
      <c r="Z690" s="780"/>
      <c r="AA690" s="780"/>
      <c r="AB690" s="780"/>
      <c r="AC690" s="780"/>
      <c r="AD690" s="780"/>
      <c r="AE690" s="780"/>
      <c r="AF690" s="422"/>
      <c r="AG690" s="422"/>
      <c r="AH690" s="422"/>
      <c r="AI690" s="422"/>
      <c r="AJ690" s="422"/>
      <c r="AK690" s="422"/>
      <c r="AL690" s="422"/>
      <c r="AM690" s="306"/>
    </row>
    <row r="691" spans="1:39" ht="15.5" outlineLevel="1">
      <c r="A691" s="526"/>
      <c r="B691" s="288" t="s">
        <v>500</v>
      </c>
      <c r="C691" s="291"/>
      <c r="D691" s="750"/>
      <c r="E691" s="750"/>
      <c r="F691" s="750"/>
      <c r="G691" s="750"/>
      <c r="H691" s="750"/>
      <c r="I691" s="750"/>
      <c r="J691" s="750"/>
      <c r="K691" s="750"/>
      <c r="L691" s="750"/>
      <c r="M691" s="750"/>
      <c r="N691" s="750"/>
      <c r="O691" s="750"/>
      <c r="P691" s="750"/>
      <c r="Q691" s="750"/>
      <c r="R691" s="750"/>
      <c r="S691" s="750"/>
      <c r="T691" s="750"/>
      <c r="U691" s="750"/>
      <c r="V691" s="750"/>
      <c r="W691" s="750"/>
      <c r="X691" s="750"/>
      <c r="Y691" s="761"/>
      <c r="Z691" s="780"/>
      <c r="AA691" s="780"/>
      <c r="AB691" s="780"/>
      <c r="AC691" s="780"/>
      <c r="AD691" s="780"/>
      <c r="AE691" s="780"/>
      <c r="AF691" s="422"/>
      <c r="AG691" s="422"/>
      <c r="AH691" s="422"/>
      <c r="AI691" s="422"/>
      <c r="AJ691" s="422"/>
      <c r="AK691" s="422"/>
      <c r="AL691" s="422"/>
      <c r="AM691" s="306"/>
    </row>
    <row r="692" spans="1:39" ht="15.5" outlineLevel="1">
      <c r="A692" s="526">
        <v>33</v>
      </c>
      <c r="B692" s="425"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776"/>
      <c r="Z692" s="759"/>
      <c r="AA692" s="759"/>
      <c r="AB692" s="759"/>
      <c r="AC692" s="759"/>
      <c r="AD692" s="759"/>
      <c r="AE692" s="759"/>
      <c r="AF692" s="414"/>
      <c r="AG692" s="414"/>
      <c r="AH692" s="414"/>
      <c r="AI692" s="414"/>
      <c r="AJ692" s="414"/>
      <c r="AK692" s="414"/>
      <c r="AL692" s="414"/>
      <c r="AM692" s="296">
        <f>SUM(Y692:AL692)</f>
        <v>0</v>
      </c>
    </row>
    <row r="693" spans="1:39" ht="15.5" outlineLevel="1">
      <c r="A693" s="526"/>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760">
        <f>Y692</f>
        <v>0</v>
      </c>
      <c r="Z693" s="760">
        <f t="shared" si="1271" ref="Z693:AE693">Z692</f>
        <v>0</v>
      </c>
      <c r="AA693" s="760">
        <f t="shared" si="1271"/>
        <v>0</v>
      </c>
      <c r="AB693" s="760">
        <f t="shared" si="1271"/>
        <v>0</v>
      </c>
      <c r="AC693" s="760">
        <f t="shared" si="1271"/>
        <v>0</v>
      </c>
      <c r="AD693" s="760">
        <f t="shared" si="1271"/>
        <v>0</v>
      </c>
      <c r="AE693" s="760">
        <f t="shared" si="1271"/>
        <v>0</v>
      </c>
      <c r="AF693" s="410">
        <f t="shared" si="1272" ref="AF693">AF692</f>
        <v>0</v>
      </c>
      <c r="AG693" s="410">
        <f t="shared" si="1273" ref="AG693">AG692</f>
        <v>0</v>
      </c>
      <c r="AH693" s="410">
        <f t="shared" si="1274" ref="AH693">AH692</f>
        <v>0</v>
      </c>
      <c r="AI693" s="410">
        <f t="shared" si="1275" ref="AI693">AI692</f>
        <v>0</v>
      </c>
      <c r="AJ693" s="410">
        <f t="shared" si="1276" ref="AJ693">AJ692</f>
        <v>0</v>
      </c>
      <c r="AK693" s="410">
        <f t="shared" si="1277" ref="AK693">AK692</f>
        <v>0</v>
      </c>
      <c r="AL693" s="410">
        <f t="shared" si="1278" ref="AL693">AL692</f>
        <v>0</v>
      </c>
      <c r="AM693" s="306"/>
    </row>
    <row r="694" spans="1:39" ht="15.5" outlineLevel="1">
      <c r="A694" s="526"/>
      <c r="B694" s="425"/>
      <c r="C694" s="291"/>
      <c r="D694" s="750"/>
      <c r="E694" s="750"/>
      <c r="F694" s="750"/>
      <c r="G694" s="750"/>
      <c r="H694" s="750"/>
      <c r="I694" s="750"/>
      <c r="J694" s="750"/>
      <c r="K694" s="750"/>
      <c r="L694" s="750"/>
      <c r="M694" s="750"/>
      <c r="N694" s="750"/>
      <c r="O694" s="750"/>
      <c r="P694" s="750"/>
      <c r="Q694" s="750"/>
      <c r="R694" s="750"/>
      <c r="S694" s="750"/>
      <c r="T694" s="750"/>
      <c r="U694" s="750"/>
      <c r="V694" s="750"/>
      <c r="W694" s="750"/>
      <c r="X694" s="750"/>
      <c r="Y694" s="761"/>
      <c r="Z694" s="780"/>
      <c r="AA694" s="780"/>
      <c r="AB694" s="780"/>
      <c r="AC694" s="780"/>
      <c r="AD694" s="780"/>
      <c r="AE694" s="780"/>
      <c r="AF694" s="422"/>
      <c r="AG694" s="422"/>
      <c r="AH694" s="422"/>
      <c r="AI694" s="422"/>
      <c r="AJ694" s="422"/>
      <c r="AK694" s="422"/>
      <c r="AL694" s="422"/>
      <c r="AM694" s="306"/>
    </row>
    <row r="695" spans="1:39" ht="15.5" outlineLevel="1">
      <c r="A695" s="526">
        <v>34</v>
      </c>
      <c r="B695" s="425"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776"/>
      <c r="Z695" s="759"/>
      <c r="AA695" s="759"/>
      <c r="AB695" s="759"/>
      <c r="AC695" s="759"/>
      <c r="AD695" s="759"/>
      <c r="AE695" s="759"/>
      <c r="AF695" s="414"/>
      <c r="AG695" s="414"/>
      <c r="AH695" s="414"/>
      <c r="AI695" s="414"/>
      <c r="AJ695" s="414"/>
      <c r="AK695" s="414"/>
      <c r="AL695" s="414"/>
      <c r="AM695" s="296">
        <f>SUM(Y695:AL695)</f>
        <v>0</v>
      </c>
    </row>
    <row r="696" spans="1:39" ht="15.5" outlineLevel="1">
      <c r="A696" s="526"/>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760">
        <f>Y695</f>
        <v>0</v>
      </c>
      <c r="Z696" s="760">
        <f t="shared" si="1279" ref="Z696:AE696">Z695</f>
        <v>0</v>
      </c>
      <c r="AA696" s="760">
        <f t="shared" si="1279"/>
        <v>0</v>
      </c>
      <c r="AB696" s="760">
        <f t="shared" si="1279"/>
        <v>0</v>
      </c>
      <c r="AC696" s="760">
        <f t="shared" si="1279"/>
        <v>0</v>
      </c>
      <c r="AD696" s="760">
        <f t="shared" si="1279"/>
        <v>0</v>
      </c>
      <c r="AE696" s="760">
        <f t="shared" si="1279"/>
        <v>0</v>
      </c>
      <c r="AF696" s="410">
        <f t="shared" si="1280" ref="AF696">AF695</f>
        <v>0</v>
      </c>
      <c r="AG696" s="410">
        <f t="shared" si="1281" ref="AG696">AG695</f>
        <v>0</v>
      </c>
      <c r="AH696" s="410">
        <f t="shared" si="1282" ref="AH696">AH695</f>
        <v>0</v>
      </c>
      <c r="AI696" s="410">
        <f t="shared" si="1283" ref="AI696">AI695</f>
        <v>0</v>
      </c>
      <c r="AJ696" s="410">
        <f t="shared" si="1284" ref="AJ696">AJ695</f>
        <v>0</v>
      </c>
      <c r="AK696" s="410">
        <f t="shared" si="1285" ref="AK696">AK695</f>
        <v>0</v>
      </c>
      <c r="AL696" s="410">
        <f t="shared" si="1286" ref="AL696">AL695</f>
        <v>0</v>
      </c>
      <c r="AM696" s="306"/>
    </row>
    <row r="697" spans="1:39" ht="15.5" outlineLevel="1">
      <c r="A697" s="526"/>
      <c r="B697" s="425"/>
      <c r="C697" s="291"/>
      <c r="D697" s="750"/>
      <c r="E697" s="750"/>
      <c r="F697" s="750"/>
      <c r="G697" s="750"/>
      <c r="H697" s="750"/>
      <c r="I697" s="750"/>
      <c r="J697" s="750"/>
      <c r="K697" s="750"/>
      <c r="L697" s="750"/>
      <c r="M697" s="750"/>
      <c r="N697" s="750"/>
      <c r="O697" s="750"/>
      <c r="P697" s="750"/>
      <c r="Q697" s="750"/>
      <c r="R697" s="750"/>
      <c r="S697" s="750"/>
      <c r="T697" s="750"/>
      <c r="U697" s="750"/>
      <c r="V697" s="750"/>
      <c r="W697" s="750"/>
      <c r="X697" s="750"/>
      <c r="Y697" s="761"/>
      <c r="Z697" s="780"/>
      <c r="AA697" s="780"/>
      <c r="AB697" s="780"/>
      <c r="AC697" s="780"/>
      <c r="AD697" s="780"/>
      <c r="AE697" s="780"/>
      <c r="AF697" s="422"/>
      <c r="AG697" s="422"/>
      <c r="AH697" s="422"/>
      <c r="AI697" s="422"/>
      <c r="AJ697" s="422"/>
      <c r="AK697" s="422"/>
      <c r="AL697" s="422"/>
      <c r="AM697" s="306"/>
    </row>
    <row r="698" spans="1:39" ht="15.5" outlineLevel="1">
      <c r="A698" s="526">
        <v>35</v>
      </c>
      <c r="B698" s="781" t="s">
        <v>796</v>
      </c>
      <c r="C698" s="291" t="s">
        <v>25</v>
      </c>
      <c r="D698" s="295">
        <f>'7.  Persistence Report'!AX134</f>
        <v>113219</v>
      </c>
      <c r="E698" s="295">
        <f>'7.  Persistence Report'!AY134</f>
        <v>113219</v>
      </c>
      <c r="F698" s="295">
        <f>'7.  Persistence Report'!AZ134</f>
        <v>113219</v>
      </c>
      <c r="G698" s="295"/>
      <c r="H698" s="295"/>
      <c r="I698" s="295"/>
      <c r="J698" s="295"/>
      <c r="K698" s="295"/>
      <c r="L698" s="295"/>
      <c r="M698" s="295"/>
      <c r="N698" s="295">
        <v>0</v>
      </c>
      <c r="O698" s="295">
        <f>'7.  Persistence Report'!S134</f>
        <v>21.872432223581686</v>
      </c>
      <c r="P698" s="295">
        <f>'7.  Persistence Report'!T134</f>
        <v>21.872432223581686</v>
      </c>
      <c r="Q698" s="295">
        <f>'7.  Persistence Report'!U134</f>
        <v>21.872432223581686</v>
      </c>
      <c r="R698" s="295"/>
      <c r="S698" s="295"/>
      <c r="T698" s="295"/>
      <c r="U698" s="295"/>
      <c r="V698" s="295"/>
      <c r="W698" s="295"/>
      <c r="X698" s="295"/>
      <c r="Y698" s="776">
        <v>1</v>
      </c>
      <c r="Z698" s="759"/>
      <c r="AA698" s="759"/>
      <c r="AB698" s="759"/>
      <c r="AC698" s="759"/>
      <c r="AD698" s="759"/>
      <c r="AE698" s="759"/>
      <c r="AF698" s="414"/>
      <c r="AG698" s="414"/>
      <c r="AH698" s="414"/>
      <c r="AI698" s="414"/>
      <c r="AJ698" s="414"/>
      <c r="AK698" s="414"/>
      <c r="AL698" s="414"/>
      <c r="AM698" s="296">
        <f>SUM(Y698:AL698)</f>
        <v>1</v>
      </c>
    </row>
    <row r="699" spans="1:39" ht="15.5" outlineLevel="1">
      <c r="A699" s="526"/>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760">
        <f>Y698</f>
        <v>1</v>
      </c>
      <c r="Z699" s="760">
        <f t="shared" si="1287" ref="Z699:AE699">Z698</f>
        <v>0</v>
      </c>
      <c r="AA699" s="760">
        <f t="shared" si="1287"/>
        <v>0</v>
      </c>
      <c r="AB699" s="760">
        <f t="shared" si="1287"/>
        <v>0</v>
      </c>
      <c r="AC699" s="760">
        <f t="shared" si="1287"/>
        <v>0</v>
      </c>
      <c r="AD699" s="760">
        <f t="shared" si="1287"/>
        <v>0</v>
      </c>
      <c r="AE699" s="760">
        <f t="shared" si="1287"/>
        <v>0</v>
      </c>
      <c r="AF699" s="410">
        <f t="shared" si="1288" ref="AF699">AF698</f>
        <v>0</v>
      </c>
      <c r="AG699" s="410">
        <f t="shared" si="1289" ref="AG699">AG698</f>
        <v>0</v>
      </c>
      <c r="AH699" s="410">
        <f t="shared" si="1290" ref="AH699">AH698</f>
        <v>0</v>
      </c>
      <c r="AI699" s="410">
        <f t="shared" si="1291" ref="AI699">AI698</f>
        <v>0</v>
      </c>
      <c r="AJ699" s="410">
        <f t="shared" si="1292" ref="AJ699">AJ698</f>
        <v>0</v>
      </c>
      <c r="AK699" s="410">
        <f t="shared" si="1293" ref="AK699">AK698</f>
        <v>0</v>
      </c>
      <c r="AL699" s="410">
        <f t="shared" si="1294" ref="AL699">AL698</f>
        <v>0</v>
      </c>
      <c r="AM699" s="306"/>
    </row>
    <row r="700" spans="1:39" ht="15.5" outlineLevel="1">
      <c r="A700" s="526"/>
      <c r="B700" s="428"/>
      <c r="C700" s="291"/>
      <c r="D700" s="750"/>
      <c r="E700" s="750"/>
      <c r="F700" s="750"/>
      <c r="G700" s="750"/>
      <c r="H700" s="750"/>
      <c r="I700" s="750"/>
      <c r="J700" s="750"/>
      <c r="K700" s="750"/>
      <c r="L700" s="750"/>
      <c r="M700" s="750"/>
      <c r="N700" s="750"/>
      <c r="O700" s="750"/>
      <c r="P700" s="750"/>
      <c r="Q700" s="750"/>
      <c r="R700" s="750"/>
      <c r="S700" s="750"/>
      <c r="T700" s="750"/>
      <c r="U700" s="750"/>
      <c r="V700" s="750"/>
      <c r="W700" s="750"/>
      <c r="X700" s="750"/>
      <c r="Y700" s="761"/>
      <c r="Z700" s="780"/>
      <c r="AA700" s="780"/>
      <c r="AB700" s="780"/>
      <c r="AC700" s="780"/>
      <c r="AD700" s="780"/>
      <c r="AE700" s="780"/>
      <c r="AF700" s="422"/>
      <c r="AG700" s="422"/>
      <c r="AH700" s="422"/>
      <c r="AI700" s="422"/>
      <c r="AJ700" s="422"/>
      <c r="AK700" s="422"/>
      <c r="AL700" s="422"/>
      <c r="AM700" s="306"/>
    </row>
    <row r="701" spans="1:39" ht="15.5" outlineLevel="1">
      <c r="A701" s="526"/>
      <c r="B701" s="288" t="s">
        <v>501</v>
      </c>
      <c r="C701" s="291"/>
      <c r="D701" s="750"/>
      <c r="E701" s="750"/>
      <c r="F701" s="750"/>
      <c r="G701" s="750"/>
      <c r="H701" s="750"/>
      <c r="I701" s="750"/>
      <c r="J701" s="750"/>
      <c r="K701" s="750"/>
      <c r="L701" s="750"/>
      <c r="M701" s="750"/>
      <c r="N701" s="750"/>
      <c r="O701" s="750"/>
      <c r="P701" s="750"/>
      <c r="Q701" s="750"/>
      <c r="R701" s="750"/>
      <c r="S701" s="750"/>
      <c r="T701" s="750"/>
      <c r="U701" s="750"/>
      <c r="V701" s="750"/>
      <c r="W701" s="750"/>
      <c r="X701" s="750"/>
      <c r="Y701" s="761"/>
      <c r="Z701" s="780"/>
      <c r="AA701" s="780"/>
      <c r="AB701" s="780"/>
      <c r="AC701" s="780"/>
      <c r="AD701" s="780"/>
      <c r="AE701" s="780"/>
      <c r="AF701" s="422"/>
      <c r="AG701" s="422"/>
      <c r="AH701" s="422"/>
      <c r="AI701" s="422"/>
      <c r="AJ701" s="422"/>
      <c r="AK701" s="422"/>
      <c r="AL701" s="422"/>
      <c r="AM701" s="306"/>
    </row>
    <row r="702" spans="1:39" ht="46.5" outlineLevel="1">
      <c r="A702" s="526">
        <v>36</v>
      </c>
      <c r="B702" s="425"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776"/>
      <c r="Z702" s="759"/>
      <c r="AA702" s="759"/>
      <c r="AB702" s="759"/>
      <c r="AC702" s="759"/>
      <c r="AD702" s="759"/>
      <c r="AE702" s="759"/>
      <c r="AF702" s="414"/>
      <c r="AG702" s="414"/>
      <c r="AH702" s="414"/>
      <c r="AI702" s="414"/>
      <c r="AJ702" s="414"/>
      <c r="AK702" s="414"/>
      <c r="AL702" s="414"/>
      <c r="AM702" s="296">
        <f>SUM(Y702:AL702)</f>
        <v>0</v>
      </c>
    </row>
    <row r="703" spans="1:39" ht="15.5" outlineLevel="1">
      <c r="A703" s="526"/>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760">
        <f>Y702</f>
        <v>0</v>
      </c>
      <c r="Z703" s="760">
        <f t="shared" si="1295" ref="Z703:AE703">Z702</f>
        <v>0</v>
      </c>
      <c r="AA703" s="760">
        <f t="shared" si="1295"/>
        <v>0</v>
      </c>
      <c r="AB703" s="760">
        <f t="shared" si="1295"/>
        <v>0</v>
      </c>
      <c r="AC703" s="760">
        <f t="shared" si="1295"/>
        <v>0</v>
      </c>
      <c r="AD703" s="760">
        <f t="shared" si="1295"/>
        <v>0</v>
      </c>
      <c r="AE703" s="760">
        <f t="shared" si="1295"/>
        <v>0</v>
      </c>
      <c r="AF703" s="410">
        <f t="shared" si="1296" ref="AF703">AF702</f>
        <v>0</v>
      </c>
      <c r="AG703" s="410">
        <f t="shared" si="1297" ref="AG703">AG702</f>
        <v>0</v>
      </c>
      <c r="AH703" s="410">
        <f t="shared" si="1298" ref="AH703">AH702</f>
        <v>0</v>
      </c>
      <c r="AI703" s="410">
        <f t="shared" si="1299" ref="AI703">AI702</f>
        <v>0</v>
      </c>
      <c r="AJ703" s="410">
        <f t="shared" si="1300" ref="AJ703">AJ702</f>
        <v>0</v>
      </c>
      <c r="AK703" s="410">
        <f t="shared" si="1301" ref="AK703">AK702</f>
        <v>0</v>
      </c>
      <c r="AL703" s="410">
        <f t="shared" si="1302" ref="AL703">AL702</f>
        <v>0</v>
      </c>
      <c r="AM703" s="306"/>
    </row>
    <row r="704" spans="1:39" ht="15.5" outlineLevel="1">
      <c r="A704" s="526"/>
      <c r="B704" s="425"/>
      <c r="C704" s="291"/>
      <c r="D704" s="750"/>
      <c r="E704" s="750"/>
      <c r="F704" s="750"/>
      <c r="G704" s="750"/>
      <c r="H704" s="750"/>
      <c r="I704" s="750"/>
      <c r="J704" s="750"/>
      <c r="K704" s="750"/>
      <c r="L704" s="750"/>
      <c r="M704" s="750"/>
      <c r="N704" s="750"/>
      <c r="O704" s="750"/>
      <c r="P704" s="750"/>
      <c r="Q704" s="750"/>
      <c r="R704" s="750"/>
      <c r="S704" s="750"/>
      <c r="T704" s="750"/>
      <c r="U704" s="750"/>
      <c r="V704" s="750"/>
      <c r="W704" s="750"/>
      <c r="X704" s="750"/>
      <c r="Y704" s="761"/>
      <c r="Z704" s="780"/>
      <c r="AA704" s="780"/>
      <c r="AB704" s="780"/>
      <c r="AC704" s="780"/>
      <c r="AD704" s="780"/>
      <c r="AE704" s="780"/>
      <c r="AF704" s="422"/>
      <c r="AG704" s="422"/>
      <c r="AH704" s="422"/>
      <c r="AI704" s="422"/>
      <c r="AJ704" s="422"/>
      <c r="AK704" s="422"/>
      <c r="AL704" s="422"/>
      <c r="AM704" s="306"/>
    </row>
    <row r="705" spans="1:39" ht="31" outlineLevel="1">
      <c r="A705" s="526">
        <v>37</v>
      </c>
      <c r="B705" s="425"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776"/>
      <c r="Z705" s="759"/>
      <c r="AA705" s="759"/>
      <c r="AB705" s="759"/>
      <c r="AC705" s="759"/>
      <c r="AD705" s="759"/>
      <c r="AE705" s="759"/>
      <c r="AF705" s="414"/>
      <c r="AG705" s="414"/>
      <c r="AH705" s="414"/>
      <c r="AI705" s="414"/>
      <c r="AJ705" s="414"/>
      <c r="AK705" s="414"/>
      <c r="AL705" s="414"/>
      <c r="AM705" s="296">
        <f>SUM(Y705:AL705)</f>
        <v>0</v>
      </c>
    </row>
    <row r="706" spans="1:39" ht="15.5" outlineLevel="1">
      <c r="A706" s="526"/>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760">
        <f>Y705</f>
        <v>0</v>
      </c>
      <c r="Z706" s="760">
        <f t="shared" si="1303" ref="Z706:AE706">Z705</f>
        <v>0</v>
      </c>
      <c r="AA706" s="760">
        <f t="shared" si="1303"/>
        <v>0</v>
      </c>
      <c r="AB706" s="760">
        <f t="shared" si="1303"/>
        <v>0</v>
      </c>
      <c r="AC706" s="760">
        <f t="shared" si="1303"/>
        <v>0</v>
      </c>
      <c r="AD706" s="760">
        <f t="shared" si="1303"/>
        <v>0</v>
      </c>
      <c r="AE706" s="760">
        <f t="shared" si="1303"/>
        <v>0</v>
      </c>
      <c r="AF706" s="410">
        <f t="shared" si="1304" ref="AF706">AF705</f>
        <v>0</v>
      </c>
      <c r="AG706" s="410">
        <f t="shared" si="1305" ref="AG706">AG705</f>
        <v>0</v>
      </c>
      <c r="AH706" s="410">
        <f t="shared" si="1306" ref="AH706">AH705</f>
        <v>0</v>
      </c>
      <c r="AI706" s="410">
        <f t="shared" si="1307" ref="AI706">AI705</f>
        <v>0</v>
      </c>
      <c r="AJ706" s="410">
        <f t="shared" si="1308" ref="AJ706">AJ705</f>
        <v>0</v>
      </c>
      <c r="AK706" s="410">
        <f t="shared" si="1309" ref="AK706">AK705</f>
        <v>0</v>
      </c>
      <c r="AL706" s="410">
        <f t="shared" si="1310" ref="AL706">AL705</f>
        <v>0</v>
      </c>
      <c r="AM706" s="306"/>
    </row>
    <row r="707" spans="1:39" ht="15.5" outlineLevel="1">
      <c r="A707" s="526"/>
      <c r="B707" s="425"/>
      <c r="C707" s="291"/>
      <c r="D707" s="750"/>
      <c r="E707" s="750"/>
      <c r="F707" s="750"/>
      <c r="G707" s="750"/>
      <c r="H707" s="750"/>
      <c r="I707" s="750"/>
      <c r="J707" s="750"/>
      <c r="K707" s="750"/>
      <c r="L707" s="750"/>
      <c r="M707" s="750"/>
      <c r="N707" s="750"/>
      <c r="O707" s="750"/>
      <c r="P707" s="750"/>
      <c r="Q707" s="750"/>
      <c r="R707" s="750"/>
      <c r="S707" s="750"/>
      <c r="T707" s="750"/>
      <c r="U707" s="750"/>
      <c r="V707" s="750"/>
      <c r="W707" s="750"/>
      <c r="X707" s="750"/>
      <c r="Y707" s="761"/>
      <c r="Z707" s="780"/>
      <c r="AA707" s="780"/>
      <c r="AB707" s="780"/>
      <c r="AC707" s="780"/>
      <c r="AD707" s="780"/>
      <c r="AE707" s="780"/>
      <c r="AF707" s="422"/>
      <c r="AG707" s="422"/>
      <c r="AH707" s="422"/>
      <c r="AI707" s="422"/>
      <c r="AJ707" s="422"/>
      <c r="AK707" s="422"/>
      <c r="AL707" s="422"/>
      <c r="AM707" s="306"/>
    </row>
    <row r="708" spans="1:39" ht="15.5" outlineLevel="1">
      <c r="A708" s="526">
        <v>38</v>
      </c>
      <c r="B708" s="425"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776"/>
      <c r="Z708" s="759"/>
      <c r="AA708" s="759"/>
      <c r="AB708" s="759"/>
      <c r="AC708" s="759"/>
      <c r="AD708" s="759"/>
      <c r="AE708" s="759"/>
      <c r="AF708" s="414"/>
      <c r="AG708" s="414"/>
      <c r="AH708" s="414"/>
      <c r="AI708" s="414"/>
      <c r="AJ708" s="414"/>
      <c r="AK708" s="414"/>
      <c r="AL708" s="414"/>
      <c r="AM708" s="296">
        <f>SUM(Y708:AL708)</f>
        <v>0</v>
      </c>
    </row>
    <row r="709" spans="1:39" ht="15.5" outlineLevel="1">
      <c r="A709" s="526"/>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760">
        <f>Y708</f>
        <v>0</v>
      </c>
      <c r="Z709" s="760">
        <f t="shared" si="1311" ref="Z709:AE709">Z708</f>
        <v>0</v>
      </c>
      <c r="AA709" s="760">
        <f t="shared" si="1311"/>
        <v>0</v>
      </c>
      <c r="AB709" s="760">
        <f t="shared" si="1311"/>
        <v>0</v>
      </c>
      <c r="AC709" s="760">
        <f t="shared" si="1311"/>
        <v>0</v>
      </c>
      <c r="AD709" s="760">
        <f t="shared" si="1311"/>
        <v>0</v>
      </c>
      <c r="AE709" s="760">
        <f t="shared" si="1311"/>
        <v>0</v>
      </c>
      <c r="AF709" s="410">
        <f t="shared" si="1312" ref="AF709">AF708</f>
        <v>0</v>
      </c>
      <c r="AG709" s="410">
        <f t="shared" si="1313" ref="AG709">AG708</f>
        <v>0</v>
      </c>
      <c r="AH709" s="410">
        <f t="shared" si="1314" ref="AH709">AH708</f>
        <v>0</v>
      </c>
      <c r="AI709" s="410">
        <f t="shared" si="1315" ref="AI709">AI708</f>
        <v>0</v>
      </c>
      <c r="AJ709" s="410">
        <f t="shared" si="1316" ref="AJ709">AJ708</f>
        <v>0</v>
      </c>
      <c r="AK709" s="410">
        <f t="shared" si="1317" ref="AK709">AK708</f>
        <v>0</v>
      </c>
      <c r="AL709" s="410">
        <f t="shared" si="1318" ref="AL709">AL708</f>
        <v>0</v>
      </c>
      <c r="AM709" s="306"/>
    </row>
    <row r="710" spans="1:39" ht="15.5" outlineLevel="1">
      <c r="A710" s="526"/>
      <c r="B710" s="425"/>
      <c r="C710" s="291"/>
      <c r="D710" s="750"/>
      <c r="E710" s="750"/>
      <c r="F710" s="750"/>
      <c r="G710" s="750"/>
      <c r="H710" s="750"/>
      <c r="I710" s="750"/>
      <c r="J710" s="750"/>
      <c r="K710" s="750"/>
      <c r="L710" s="750"/>
      <c r="M710" s="750"/>
      <c r="N710" s="750"/>
      <c r="O710" s="750"/>
      <c r="P710" s="750"/>
      <c r="Q710" s="750"/>
      <c r="R710" s="750"/>
      <c r="S710" s="750"/>
      <c r="T710" s="750"/>
      <c r="U710" s="750"/>
      <c r="V710" s="750"/>
      <c r="W710" s="750"/>
      <c r="X710" s="750"/>
      <c r="Y710" s="761"/>
      <c r="Z710" s="780"/>
      <c r="AA710" s="780"/>
      <c r="AB710" s="780"/>
      <c r="AC710" s="780"/>
      <c r="AD710" s="780"/>
      <c r="AE710" s="780"/>
      <c r="AF710" s="422"/>
      <c r="AG710" s="422"/>
      <c r="AH710" s="422"/>
      <c r="AI710" s="422"/>
      <c r="AJ710" s="422"/>
      <c r="AK710" s="422"/>
      <c r="AL710" s="422"/>
      <c r="AM710" s="306"/>
    </row>
    <row r="711" spans="1:39" ht="31" outlineLevel="1">
      <c r="A711" s="526">
        <v>39</v>
      </c>
      <c r="B711" s="425"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776"/>
      <c r="Z711" s="759"/>
      <c r="AA711" s="759"/>
      <c r="AB711" s="759"/>
      <c r="AC711" s="759"/>
      <c r="AD711" s="759"/>
      <c r="AE711" s="759"/>
      <c r="AF711" s="414"/>
      <c r="AG711" s="414"/>
      <c r="AH711" s="414"/>
      <c r="AI711" s="414"/>
      <c r="AJ711" s="414"/>
      <c r="AK711" s="414"/>
      <c r="AL711" s="414"/>
      <c r="AM711" s="296">
        <f>SUM(Y711:AL711)</f>
        <v>0</v>
      </c>
    </row>
    <row r="712" spans="1:39" ht="15.5" outlineLevel="1">
      <c r="A712" s="526"/>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760">
        <f>Y711</f>
        <v>0</v>
      </c>
      <c r="Z712" s="760">
        <f t="shared" si="1319" ref="Z712:AE712">Z711</f>
        <v>0</v>
      </c>
      <c r="AA712" s="760">
        <f t="shared" si="1319"/>
        <v>0</v>
      </c>
      <c r="AB712" s="760">
        <f t="shared" si="1319"/>
        <v>0</v>
      </c>
      <c r="AC712" s="760">
        <f t="shared" si="1319"/>
        <v>0</v>
      </c>
      <c r="AD712" s="760">
        <f t="shared" si="1319"/>
        <v>0</v>
      </c>
      <c r="AE712" s="760">
        <f t="shared" si="1319"/>
        <v>0</v>
      </c>
      <c r="AF712" s="410">
        <f t="shared" si="1320" ref="AF712">AF711</f>
        <v>0</v>
      </c>
      <c r="AG712" s="410">
        <f t="shared" si="1321" ref="AG712">AG711</f>
        <v>0</v>
      </c>
      <c r="AH712" s="410">
        <f t="shared" si="1322" ref="AH712">AH711</f>
        <v>0</v>
      </c>
      <c r="AI712" s="410">
        <f t="shared" si="1323" ref="AI712">AI711</f>
        <v>0</v>
      </c>
      <c r="AJ712" s="410">
        <f t="shared" si="1324" ref="AJ712">AJ711</f>
        <v>0</v>
      </c>
      <c r="AK712" s="410">
        <f t="shared" si="1325" ref="AK712">AK711</f>
        <v>0</v>
      </c>
      <c r="AL712" s="410">
        <f t="shared" si="1326" ref="AL712">AL711</f>
        <v>0</v>
      </c>
      <c r="AM712" s="306"/>
    </row>
    <row r="713" spans="1:39" ht="15.5" outlineLevel="1">
      <c r="A713" s="526"/>
      <c r="B713" s="425"/>
      <c r="C713" s="291"/>
      <c r="D713" s="750"/>
      <c r="E713" s="750"/>
      <c r="F713" s="750"/>
      <c r="G713" s="750"/>
      <c r="H713" s="750"/>
      <c r="I713" s="750"/>
      <c r="J713" s="750"/>
      <c r="K713" s="750"/>
      <c r="L713" s="750"/>
      <c r="M713" s="750"/>
      <c r="N713" s="750"/>
      <c r="O713" s="750"/>
      <c r="P713" s="750"/>
      <c r="Q713" s="750"/>
      <c r="R713" s="750"/>
      <c r="S713" s="750"/>
      <c r="T713" s="750"/>
      <c r="U713" s="750"/>
      <c r="V713" s="750"/>
      <c r="W713" s="750"/>
      <c r="X713" s="750"/>
      <c r="Y713" s="761"/>
      <c r="Z713" s="780"/>
      <c r="AA713" s="780"/>
      <c r="AB713" s="780"/>
      <c r="AC713" s="780"/>
      <c r="AD713" s="780"/>
      <c r="AE713" s="780"/>
      <c r="AF713" s="422"/>
      <c r="AG713" s="422"/>
      <c r="AH713" s="422"/>
      <c r="AI713" s="422"/>
      <c r="AJ713" s="422"/>
      <c r="AK713" s="422"/>
      <c r="AL713" s="422"/>
      <c r="AM713" s="306"/>
    </row>
    <row r="714" spans="1:39" ht="31" outlineLevel="1">
      <c r="A714" s="526">
        <v>40</v>
      </c>
      <c r="B714" s="425"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776"/>
      <c r="Z714" s="759"/>
      <c r="AA714" s="759"/>
      <c r="AB714" s="759"/>
      <c r="AC714" s="759"/>
      <c r="AD714" s="759"/>
      <c r="AE714" s="759"/>
      <c r="AF714" s="414"/>
      <c r="AG714" s="414"/>
      <c r="AH714" s="414"/>
      <c r="AI714" s="414"/>
      <c r="AJ714" s="414"/>
      <c r="AK714" s="414"/>
      <c r="AL714" s="414"/>
      <c r="AM714" s="296">
        <f>SUM(Y714:AL714)</f>
        <v>0</v>
      </c>
    </row>
    <row r="715" spans="1:39" ht="15.5" outlineLevel="1">
      <c r="A715" s="526"/>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760">
        <f>Y714</f>
        <v>0</v>
      </c>
      <c r="Z715" s="760">
        <f t="shared" si="1327" ref="Z715:AE715">Z714</f>
        <v>0</v>
      </c>
      <c r="AA715" s="760">
        <f t="shared" si="1327"/>
        <v>0</v>
      </c>
      <c r="AB715" s="760">
        <f t="shared" si="1327"/>
        <v>0</v>
      </c>
      <c r="AC715" s="760">
        <f t="shared" si="1327"/>
        <v>0</v>
      </c>
      <c r="AD715" s="760">
        <f t="shared" si="1327"/>
        <v>0</v>
      </c>
      <c r="AE715" s="760">
        <f t="shared" si="1327"/>
        <v>0</v>
      </c>
      <c r="AF715" s="410">
        <f t="shared" si="1328" ref="AF715">AF714</f>
        <v>0</v>
      </c>
      <c r="AG715" s="410">
        <f t="shared" si="1329" ref="AG715">AG714</f>
        <v>0</v>
      </c>
      <c r="AH715" s="410">
        <f t="shared" si="1330" ref="AH715">AH714</f>
        <v>0</v>
      </c>
      <c r="AI715" s="410">
        <f t="shared" si="1331" ref="AI715">AI714</f>
        <v>0</v>
      </c>
      <c r="AJ715" s="410">
        <f t="shared" si="1332" ref="AJ715">AJ714</f>
        <v>0</v>
      </c>
      <c r="AK715" s="410">
        <f t="shared" si="1333" ref="AK715">AK714</f>
        <v>0</v>
      </c>
      <c r="AL715" s="410">
        <f t="shared" si="1334" ref="AL715">AL714</f>
        <v>0</v>
      </c>
      <c r="AM715" s="306"/>
    </row>
    <row r="716" spans="1:39" ht="15.5" outlineLevel="1">
      <c r="A716" s="526"/>
      <c r="B716" s="425"/>
      <c r="C716" s="291"/>
      <c r="D716" s="750"/>
      <c r="E716" s="750"/>
      <c r="F716" s="750"/>
      <c r="G716" s="750"/>
      <c r="H716" s="750"/>
      <c r="I716" s="750"/>
      <c r="J716" s="750"/>
      <c r="K716" s="750"/>
      <c r="L716" s="750"/>
      <c r="M716" s="750"/>
      <c r="N716" s="750"/>
      <c r="O716" s="750"/>
      <c r="P716" s="750"/>
      <c r="Q716" s="750"/>
      <c r="R716" s="750"/>
      <c r="S716" s="750"/>
      <c r="T716" s="750"/>
      <c r="U716" s="750"/>
      <c r="V716" s="750"/>
      <c r="W716" s="750"/>
      <c r="X716" s="750"/>
      <c r="Y716" s="761"/>
      <c r="Z716" s="780"/>
      <c r="AA716" s="780"/>
      <c r="AB716" s="780"/>
      <c r="AC716" s="780"/>
      <c r="AD716" s="780"/>
      <c r="AE716" s="780"/>
      <c r="AF716" s="422"/>
      <c r="AG716" s="422"/>
      <c r="AH716" s="422"/>
      <c r="AI716" s="422"/>
      <c r="AJ716" s="422"/>
      <c r="AK716" s="422"/>
      <c r="AL716" s="422"/>
      <c r="AM716" s="306"/>
    </row>
    <row r="717" spans="1:39" ht="46.5" outlineLevel="1">
      <c r="A717" s="526">
        <v>41</v>
      </c>
      <c r="B717" s="425"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776"/>
      <c r="Z717" s="759"/>
      <c r="AA717" s="759"/>
      <c r="AB717" s="759"/>
      <c r="AC717" s="759"/>
      <c r="AD717" s="759"/>
      <c r="AE717" s="759"/>
      <c r="AF717" s="414"/>
      <c r="AG717" s="414"/>
      <c r="AH717" s="414"/>
      <c r="AI717" s="414"/>
      <c r="AJ717" s="414"/>
      <c r="AK717" s="414"/>
      <c r="AL717" s="414"/>
      <c r="AM717" s="296">
        <f>SUM(Y717:AL717)</f>
        <v>0</v>
      </c>
    </row>
    <row r="718" spans="1:39" ht="15.5" outlineLevel="1">
      <c r="A718" s="526"/>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760">
        <f>Y717</f>
        <v>0</v>
      </c>
      <c r="Z718" s="760">
        <f t="shared" si="1335" ref="Z718:AE718">Z717</f>
        <v>0</v>
      </c>
      <c r="AA718" s="760">
        <f t="shared" si="1335"/>
        <v>0</v>
      </c>
      <c r="AB718" s="760">
        <f t="shared" si="1335"/>
        <v>0</v>
      </c>
      <c r="AC718" s="760">
        <f t="shared" si="1335"/>
        <v>0</v>
      </c>
      <c r="AD718" s="760">
        <f t="shared" si="1335"/>
        <v>0</v>
      </c>
      <c r="AE718" s="760">
        <f t="shared" si="1335"/>
        <v>0</v>
      </c>
      <c r="AF718" s="410">
        <f t="shared" si="1336" ref="AF718">AF717</f>
        <v>0</v>
      </c>
      <c r="AG718" s="410">
        <f t="shared" si="1337" ref="AG718">AG717</f>
        <v>0</v>
      </c>
      <c r="AH718" s="410">
        <f t="shared" si="1338" ref="AH718">AH717</f>
        <v>0</v>
      </c>
      <c r="AI718" s="410">
        <f t="shared" si="1339" ref="AI718">AI717</f>
        <v>0</v>
      </c>
      <c r="AJ718" s="410">
        <f t="shared" si="1340" ref="AJ718">AJ717</f>
        <v>0</v>
      </c>
      <c r="AK718" s="410">
        <f t="shared" si="1341" ref="AK718">AK717</f>
        <v>0</v>
      </c>
      <c r="AL718" s="410">
        <f t="shared" si="1342" ref="AL718">AL717</f>
        <v>0</v>
      </c>
      <c r="AM718" s="306"/>
    </row>
    <row r="719" spans="1:39" ht="15.5" outlineLevel="1">
      <c r="A719" s="526"/>
      <c r="B719" s="425"/>
      <c r="C719" s="291"/>
      <c r="D719" s="750"/>
      <c r="E719" s="750"/>
      <c r="F719" s="750"/>
      <c r="G719" s="750"/>
      <c r="H719" s="750"/>
      <c r="I719" s="750"/>
      <c r="J719" s="750"/>
      <c r="K719" s="750"/>
      <c r="L719" s="750"/>
      <c r="M719" s="750"/>
      <c r="N719" s="750"/>
      <c r="O719" s="750"/>
      <c r="P719" s="750"/>
      <c r="Q719" s="750"/>
      <c r="R719" s="750"/>
      <c r="S719" s="750"/>
      <c r="T719" s="750"/>
      <c r="U719" s="750"/>
      <c r="V719" s="750"/>
      <c r="W719" s="750"/>
      <c r="X719" s="750"/>
      <c r="Y719" s="761"/>
      <c r="Z719" s="780"/>
      <c r="AA719" s="780"/>
      <c r="AB719" s="780"/>
      <c r="AC719" s="780"/>
      <c r="AD719" s="780"/>
      <c r="AE719" s="780"/>
      <c r="AF719" s="422"/>
      <c r="AG719" s="422"/>
      <c r="AH719" s="422"/>
      <c r="AI719" s="422"/>
      <c r="AJ719" s="422"/>
      <c r="AK719" s="422"/>
      <c r="AL719" s="422"/>
      <c r="AM719" s="306"/>
    </row>
    <row r="720" spans="1:39" ht="31" outlineLevel="1">
      <c r="A720" s="526">
        <v>42</v>
      </c>
      <c r="B720" s="425" t="s">
        <v>134</v>
      </c>
      <c r="C720" s="291" t="s">
        <v>25</v>
      </c>
      <c r="D720" s="295"/>
      <c r="E720" s="295"/>
      <c r="F720" s="295"/>
      <c r="G720" s="295"/>
      <c r="H720" s="295"/>
      <c r="I720" s="295"/>
      <c r="J720" s="295"/>
      <c r="K720" s="295"/>
      <c r="L720" s="295"/>
      <c r="M720" s="295"/>
      <c r="N720" s="750"/>
      <c r="O720" s="295"/>
      <c r="P720" s="295"/>
      <c r="Q720" s="295"/>
      <c r="R720" s="295"/>
      <c r="S720" s="295"/>
      <c r="T720" s="295"/>
      <c r="U720" s="295"/>
      <c r="V720" s="295"/>
      <c r="W720" s="295"/>
      <c r="X720" s="295"/>
      <c r="Y720" s="776"/>
      <c r="Z720" s="759"/>
      <c r="AA720" s="759"/>
      <c r="AB720" s="759"/>
      <c r="AC720" s="759"/>
      <c r="AD720" s="759"/>
      <c r="AE720" s="759"/>
      <c r="AF720" s="414"/>
      <c r="AG720" s="414"/>
      <c r="AH720" s="414"/>
      <c r="AI720" s="414"/>
      <c r="AJ720" s="414"/>
      <c r="AK720" s="414"/>
      <c r="AL720" s="414"/>
      <c r="AM720" s="296">
        <f>SUM(Y720:AL720)</f>
        <v>0</v>
      </c>
    </row>
    <row r="721" spans="1:39" ht="15.5" outlineLevel="1">
      <c r="A721" s="526"/>
      <c r="B721" s="294" t="s">
        <v>310</v>
      </c>
      <c r="C721" s="291" t="s">
        <v>163</v>
      </c>
      <c r="D721" s="295"/>
      <c r="E721" s="295"/>
      <c r="F721" s="295"/>
      <c r="G721" s="295"/>
      <c r="H721" s="295"/>
      <c r="I721" s="295"/>
      <c r="J721" s="295"/>
      <c r="K721" s="295"/>
      <c r="L721" s="295"/>
      <c r="M721" s="295"/>
      <c r="N721" s="751"/>
      <c r="O721" s="295"/>
      <c r="P721" s="295"/>
      <c r="Q721" s="295"/>
      <c r="R721" s="295"/>
      <c r="S721" s="295"/>
      <c r="T721" s="295"/>
      <c r="U721" s="295"/>
      <c r="V721" s="295"/>
      <c r="W721" s="295"/>
      <c r="X721" s="295"/>
      <c r="Y721" s="760">
        <f>Y720</f>
        <v>0</v>
      </c>
      <c r="Z721" s="760">
        <f t="shared" si="1343" ref="Z721:AE721">Z720</f>
        <v>0</v>
      </c>
      <c r="AA721" s="760">
        <f t="shared" si="1343"/>
        <v>0</v>
      </c>
      <c r="AB721" s="760">
        <f t="shared" si="1343"/>
        <v>0</v>
      </c>
      <c r="AC721" s="760">
        <f t="shared" si="1343"/>
        <v>0</v>
      </c>
      <c r="AD721" s="760">
        <f t="shared" si="1343"/>
        <v>0</v>
      </c>
      <c r="AE721" s="760">
        <f t="shared" si="1343"/>
        <v>0</v>
      </c>
      <c r="AF721" s="410">
        <f t="shared" si="1344" ref="AF721">AF720</f>
        <v>0</v>
      </c>
      <c r="AG721" s="410">
        <f t="shared" si="1345" ref="AG721">AG720</f>
        <v>0</v>
      </c>
      <c r="AH721" s="410">
        <f t="shared" si="1346" ref="AH721">AH720</f>
        <v>0</v>
      </c>
      <c r="AI721" s="410">
        <f t="shared" si="1347" ref="AI721">AI720</f>
        <v>0</v>
      </c>
      <c r="AJ721" s="410">
        <f t="shared" si="1348" ref="AJ721">AJ720</f>
        <v>0</v>
      </c>
      <c r="AK721" s="410">
        <f t="shared" si="1349" ref="AK721">AK720</f>
        <v>0</v>
      </c>
      <c r="AL721" s="410">
        <f t="shared" si="1350" ref="AL721">AL720</f>
        <v>0</v>
      </c>
      <c r="AM721" s="306"/>
    </row>
    <row r="722" spans="1:39" ht="15.5" outlineLevel="1">
      <c r="A722" s="526"/>
      <c r="B722" s="425"/>
      <c r="C722" s="291"/>
      <c r="D722" s="750"/>
      <c r="E722" s="750"/>
      <c r="F722" s="750"/>
      <c r="G722" s="750"/>
      <c r="H722" s="750"/>
      <c r="I722" s="750"/>
      <c r="J722" s="750"/>
      <c r="K722" s="750"/>
      <c r="L722" s="750"/>
      <c r="M722" s="750"/>
      <c r="N722" s="750"/>
      <c r="O722" s="750"/>
      <c r="P722" s="750"/>
      <c r="Q722" s="750"/>
      <c r="R722" s="750"/>
      <c r="S722" s="750"/>
      <c r="T722" s="750"/>
      <c r="U722" s="750"/>
      <c r="V722" s="750"/>
      <c r="W722" s="750"/>
      <c r="X722" s="750"/>
      <c r="Y722" s="761"/>
      <c r="Z722" s="780"/>
      <c r="AA722" s="780"/>
      <c r="AB722" s="780"/>
      <c r="AC722" s="780"/>
      <c r="AD722" s="780"/>
      <c r="AE722" s="780"/>
      <c r="AF722" s="422"/>
      <c r="AG722" s="422"/>
      <c r="AH722" s="422"/>
      <c r="AI722" s="422"/>
      <c r="AJ722" s="422"/>
      <c r="AK722" s="422"/>
      <c r="AL722" s="422"/>
      <c r="AM722" s="306"/>
    </row>
    <row r="723" spans="1:39" ht="15.5" outlineLevel="1">
      <c r="A723" s="526">
        <v>43</v>
      </c>
      <c r="B723" s="425"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776"/>
      <c r="Z723" s="759"/>
      <c r="AA723" s="759"/>
      <c r="AB723" s="759"/>
      <c r="AC723" s="759"/>
      <c r="AD723" s="759"/>
      <c r="AE723" s="759"/>
      <c r="AF723" s="414"/>
      <c r="AG723" s="414"/>
      <c r="AH723" s="414"/>
      <c r="AI723" s="414"/>
      <c r="AJ723" s="414"/>
      <c r="AK723" s="414"/>
      <c r="AL723" s="414"/>
      <c r="AM723" s="296">
        <f>SUM(Y723:AL723)</f>
        <v>0</v>
      </c>
    </row>
    <row r="724" spans="1:39" ht="15.5" outlineLevel="1">
      <c r="A724" s="526"/>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760">
        <f>Y723</f>
        <v>0</v>
      </c>
      <c r="Z724" s="760">
        <f t="shared" si="1351" ref="Z724:AE724">Z723</f>
        <v>0</v>
      </c>
      <c r="AA724" s="760">
        <f t="shared" si="1351"/>
        <v>0</v>
      </c>
      <c r="AB724" s="760">
        <f t="shared" si="1351"/>
        <v>0</v>
      </c>
      <c r="AC724" s="760">
        <f t="shared" si="1351"/>
        <v>0</v>
      </c>
      <c r="AD724" s="760">
        <f t="shared" si="1351"/>
        <v>0</v>
      </c>
      <c r="AE724" s="760">
        <f t="shared" si="1351"/>
        <v>0</v>
      </c>
      <c r="AF724" s="410">
        <f t="shared" si="1352" ref="AF724">AF723</f>
        <v>0</v>
      </c>
      <c r="AG724" s="410">
        <f t="shared" si="1353" ref="AG724">AG723</f>
        <v>0</v>
      </c>
      <c r="AH724" s="410">
        <f t="shared" si="1354" ref="AH724">AH723</f>
        <v>0</v>
      </c>
      <c r="AI724" s="410">
        <f t="shared" si="1355" ref="AI724">AI723</f>
        <v>0</v>
      </c>
      <c r="AJ724" s="410">
        <f t="shared" si="1356" ref="AJ724">AJ723</f>
        <v>0</v>
      </c>
      <c r="AK724" s="410">
        <f t="shared" si="1357" ref="AK724">AK723</f>
        <v>0</v>
      </c>
      <c r="AL724" s="410">
        <f t="shared" si="1358" ref="AL724">AL723</f>
        <v>0</v>
      </c>
      <c r="AM724" s="306"/>
    </row>
    <row r="725" spans="1:39" ht="15.5" outlineLevel="1">
      <c r="A725" s="526"/>
      <c r="B725" s="425"/>
      <c r="C725" s="291"/>
      <c r="D725" s="750"/>
      <c r="E725" s="750"/>
      <c r="F725" s="750"/>
      <c r="G725" s="750"/>
      <c r="H725" s="750"/>
      <c r="I725" s="750"/>
      <c r="J725" s="750"/>
      <c r="K725" s="750"/>
      <c r="L725" s="750"/>
      <c r="M725" s="750"/>
      <c r="N725" s="750"/>
      <c r="O725" s="750"/>
      <c r="P725" s="750"/>
      <c r="Q725" s="750"/>
      <c r="R725" s="750"/>
      <c r="S725" s="750"/>
      <c r="T725" s="750"/>
      <c r="U725" s="750"/>
      <c r="V725" s="750"/>
      <c r="W725" s="750"/>
      <c r="X725" s="750"/>
      <c r="Y725" s="761"/>
      <c r="Z725" s="780"/>
      <c r="AA725" s="780"/>
      <c r="AB725" s="780"/>
      <c r="AC725" s="780"/>
      <c r="AD725" s="780"/>
      <c r="AE725" s="780"/>
      <c r="AF725" s="422"/>
      <c r="AG725" s="422"/>
      <c r="AH725" s="422"/>
      <c r="AI725" s="422"/>
      <c r="AJ725" s="422"/>
      <c r="AK725" s="422"/>
      <c r="AL725" s="422"/>
      <c r="AM725" s="306"/>
    </row>
    <row r="726" spans="1:39" ht="46.5" outlineLevel="1">
      <c r="A726" s="526">
        <v>44</v>
      </c>
      <c r="B726" s="425"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776"/>
      <c r="Z726" s="759"/>
      <c r="AA726" s="759"/>
      <c r="AB726" s="759"/>
      <c r="AC726" s="759"/>
      <c r="AD726" s="759"/>
      <c r="AE726" s="759"/>
      <c r="AF726" s="414"/>
      <c r="AG726" s="414"/>
      <c r="AH726" s="414"/>
      <c r="AI726" s="414"/>
      <c r="AJ726" s="414"/>
      <c r="AK726" s="414"/>
      <c r="AL726" s="414"/>
      <c r="AM726" s="296">
        <f>SUM(Y726:AL726)</f>
        <v>0</v>
      </c>
    </row>
    <row r="727" spans="1:39" ht="15.5" outlineLevel="1">
      <c r="A727" s="526"/>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760">
        <f>Y726</f>
        <v>0</v>
      </c>
      <c r="Z727" s="760">
        <f t="shared" si="1359" ref="Z727:AE727">Z726</f>
        <v>0</v>
      </c>
      <c r="AA727" s="760">
        <f t="shared" si="1359"/>
        <v>0</v>
      </c>
      <c r="AB727" s="760">
        <f t="shared" si="1359"/>
        <v>0</v>
      </c>
      <c r="AC727" s="760">
        <f t="shared" si="1359"/>
        <v>0</v>
      </c>
      <c r="AD727" s="760">
        <f t="shared" si="1359"/>
        <v>0</v>
      </c>
      <c r="AE727" s="760">
        <f t="shared" si="1359"/>
        <v>0</v>
      </c>
      <c r="AF727" s="410">
        <f t="shared" si="1360" ref="AF727">AF726</f>
        <v>0</v>
      </c>
      <c r="AG727" s="410">
        <f t="shared" si="1361" ref="AG727">AG726</f>
        <v>0</v>
      </c>
      <c r="AH727" s="410">
        <f t="shared" si="1362" ref="AH727">AH726</f>
        <v>0</v>
      </c>
      <c r="AI727" s="410">
        <f t="shared" si="1363" ref="AI727">AI726</f>
        <v>0</v>
      </c>
      <c r="AJ727" s="410">
        <f t="shared" si="1364" ref="AJ727">AJ726</f>
        <v>0</v>
      </c>
      <c r="AK727" s="410">
        <f t="shared" si="1365" ref="AK727">AK726</f>
        <v>0</v>
      </c>
      <c r="AL727" s="410">
        <f t="shared" si="1366" ref="AL727">AL726</f>
        <v>0</v>
      </c>
      <c r="AM727" s="306"/>
    </row>
    <row r="728" spans="1:39" ht="15.5" outlineLevel="1">
      <c r="A728" s="526"/>
      <c r="B728" s="425"/>
      <c r="C728" s="291"/>
      <c r="D728" s="750"/>
      <c r="E728" s="750"/>
      <c r="F728" s="750"/>
      <c r="G728" s="750"/>
      <c r="H728" s="750"/>
      <c r="I728" s="750"/>
      <c r="J728" s="750"/>
      <c r="K728" s="750"/>
      <c r="L728" s="750"/>
      <c r="M728" s="750"/>
      <c r="N728" s="750"/>
      <c r="O728" s="750"/>
      <c r="P728" s="750"/>
      <c r="Q728" s="750"/>
      <c r="R728" s="750"/>
      <c r="S728" s="750"/>
      <c r="T728" s="750"/>
      <c r="U728" s="750"/>
      <c r="V728" s="750"/>
      <c r="W728" s="750"/>
      <c r="X728" s="750"/>
      <c r="Y728" s="761"/>
      <c r="Z728" s="780"/>
      <c r="AA728" s="780"/>
      <c r="AB728" s="780"/>
      <c r="AC728" s="780"/>
      <c r="AD728" s="780"/>
      <c r="AE728" s="780"/>
      <c r="AF728" s="422"/>
      <c r="AG728" s="422"/>
      <c r="AH728" s="422"/>
      <c r="AI728" s="422"/>
      <c r="AJ728" s="422"/>
      <c r="AK728" s="422"/>
      <c r="AL728" s="422"/>
      <c r="AM728" s="306"/>
    </row>
    <row r="729" spans="1:39" ht="31" outlineLevel="1">
      <c r="A729" s="526">
        <v>45</v>
      </c>
      <c r="B729" s="425"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776"/>
      <c r="Z729" s="759"/>
      <c r="AA729" s="759"/>
      <c r="AB729" s="759"/>
      <c r="AC729" s="759"/>
      <c r="AD729" s="759"/>
      <c r="AE729" s="759"/>
      <c r="AF729" s="414"/>
      <c r="AG729" s="414"/>
      <c r="AH729" s="414"/>
      <c r="AI729" s="414"/>
      <c r="AJ729" s="414"/>
      <c r="AK729" s="414"/>
      <c r="AL729" s="414"/>
      <c r="AM729" s="296">
        <f>SUM(Y729:AL729)</f>
        <v>0</v>
      </c>
    </row>
    <row r="730" spans="1:39" ht="15.5" outlineLevel="1">
      <c r="A730" s="526"/>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760">
        <f>Y729</f>
        <v>0</v>
      </c>
      <c r="Z730" s="760">
        <f t="shared" si="1367" ref="Z730:AE730">Z729</f>
        <v>0</v>
      </c>
      <c r="AA730" s="760">
        <f t="shared" si="1367"/>
        <v>0</v>
      </c>
      <c r="AB730" s="760">
        <f t="shared" si="1367"/>
        <v>0</v>
      </c>
      <c r="AC730" s="760">
        <f t="shared" si="1367"/>
        <v>0</v>
      </c>
      <c r="AD730" s="760">
        <f t="shared" si="1367"/>
        <v>0</v>
      </c>
      <c r="AE730" s="760">
        <f t="shared" si="1367"/>
        <v>0</v>
      </c>
      <c r="AF730" s="410">
        <f t="shared" si="1368" ref="AF730">AF729</f>
        <v>0</v>
      </c>
      <c r="AG730" s="410">
        <f t="shared" si="1369" ref="AG730">AG729</f>
        <v>0</v>
      </c>
      <c r="AH730" s="410">
        <f t="shared" si="1370" ref="AH730">AH729</f>
        <v>0</v>
      </c>
      <c r="AI730" s="410">
        <f t="shared" si="1371" ref="AI730">AI729</f>
        <v>0</v>
      </c>
      <c r="AJ730" s="410">
        <f t="shared" si="1372" ref="AJ730">AJ729</f>
        <v>0</v>
      </c>
      <c r="AK730" s="410">
        <f t="shared" si="1373" ref="AK730">AK729</f>
        <v>0</v>
      </c>
      <c r="AL730" s="410">
        <f t="shared" si="1374" ref="AL730">AL729</f>
        <v>0</v>
      </c>
      <c r="AM730" s="306"/>
    </row>
    <row r="731" spans="1:39" ht="15.5" outlineLevel="1">
      <c r="A731" s="526"/>
      <c r="B731" s="425"/>
      <c r="C731" s="291"/>
      <c r="D731" s="750"/>
      <c r="E731" s="750"/>
      <c r="F731" s="750"/>
      <c r="G731" s="750"/>
      <c r="H731" s="750"/>
      <c r="I731" s="750"/>
      <c r="J731" s="750"/>
      <c r="K731" s="750"/>
      <c r="L731" s="750"/>
      <c r="M731" s="750"/>
      <c r="N731" s="750"/>
      <c r="O731" s="750"/>
      <c r="P731" s="750"/>
      <c r="Q731" s="750"/>
      <c r="R731" s="750"/>
      <c r="S731" s="750"/>
      <c r="T731" s="750"/>
      <c r="U731" s="750"/>
      <c r="V731" s="750"/>
      <c r="W731" s="750"/>
      <c r="X731" s="750"/>
      <c r="Y731" s="761"/>
      <c r="Z731" s="780"/>
      <c r="AA731" s="780"/>
      <c r="AB731" s="780"/>
      <c r="AC731" s="780"/>
      <c r="AD731" s="780"/>
      <c r="AE731" s="780"/>
      <c r="AF731" s="422"/>
      <c r="AG731" s="422"/>
      <c r="AH731" s="422"/>
      <c r="AI731" s="422"/>
      <c r="AJ731" s="422"/>
      <c r="AK731" s="422"/>
      <c r="AL731" s="422"/>
      <c r="AM731" s="306"/>
    </row>
    <row r="732" spans="1:39" ht="31" outlineLevel="1">
      <c r="A732" s="526">
        <v>46</v>
      </c>
      <c r="B732" s="425"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776"/>
      <c r="Z732" s="759"/>
      <c r="AA732" s="759"/>
      <c r="AB732" s="759"/>
      <c r="AC732" s="759"/>
      <c r="AD732" s="759"/>
      <c r="AE732" s="759"/>
      <c r="AF732" s="414"/>
      <c r="AG732" s="414"/>
      <c r="AH732" s="414"/>
      <c r="AI732" s="414"/>
      <c r="AJ732" s="414"/>
      <c r="AK732" s="414"/>
      <c r="AL732" s="414"/>
      <c r="AM732" s="296">
        <f>SUM(Y732:AL732)</f>
        <v>0</v>
      </c>
    </row>
    <row r="733" spans="1:39" ht="15.5" outlineLevel="1">
      <c r="A733" s="526"/>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760">
        <f>Y732</f>
        <v>0</v>
      </c>
      <c r="Z733" s="760">
        <f t="shared" si="1375" ref="Z733:AE733">Z732</f>
        <v>0</v>
      </c>
      <c r="AA733" s="760">
        <f t="shared" si="1375"/>
        <v>0</v>
      </c>
      <c r="AB733" s="760">
        <f t="shared" si="1375"/>
        <v>0</v>
      </c>
      <c r="AC733" s="760">
        <f t="shared" si="1375"/>
        <v>0</v>
      </c>
      <c r="AD733" s="760">
        <f t="shared" si="1375"/>
        <v>0</v>
      </c>
      <c r="AE733" s="760">
        <f t="shared" si="1375"/>
        <v>0</v>
      </c>
      <c r="AF733" s="410">
        <f t="shared" si="1376" ref="AF733">AF732</f>
        <v>0</v>
      </c>
      <c r="AG733" s="410">
        <f t="shared" si="1377" ref="AG733">AG732</f>
        <v>0</v>
      </c>
      <c r="AH733" s="410">
        <f t="shared" si="1378" ref="AH733">AH732</f>
        <v>0</v>
      </c>
      <c r="AI733" s="410">
        <f t="shared" si="1379" ref="AI733">AI732</f>
        <v>0</v>
      </c>
      <c r="AJ733" s="410">
        <f t="shared" si="1380" ref="AJ733">AJ732</f>
        <v>0</v>
      </c>
      <c r="AK733" s="410">
        <f t="shared" si="1381" ref="AK733">AK732</f>
        <v>0</v>
      </c>
      <c r="AL733" s="410">
        <f t="shared" si="1382" ref="AL733">AL732</f>
        <v>0</v>
      </c>
      <c r="AM733" s="306"/>
    </row>
    <row r="734" spans="1:39" ht="15.5" outlineLevel="1">
      <c r="A734" s="526"/>
      <c r="B734" s="425"/>
      <c r="C734" s="291"/>
      <c r="D734" s="750"/>
      <c r="E734" s="750"/>
      <c r="F734" s="750"/>
      <c r="G734" s="750"/>
      <c r="H734" s="750"/>
      <c r="I734" s="750"/>
      <c r="J734" s="750"/>
      <c r="K734" s="750"/>
      <c r="L734" s="750"/>
      <c r="M734" s="750"/>
      <c r="N734" s="750"/>
      <c r="O734" s="750"/>
      <c r="P734" s="750"/>
      <c r="Q734" s="750"/>
      <c r="R734" s="750"/>
      <c r="S734" s="750"/>
      <c r="T734" s="750"/>
      <c r="U734" s="750"/>
      <c r="V734" s="750"/>
      <c r="W734" s="750"/>
      <c r="X734" s="750"/>
      <c r="Y734" s="761"/>
      <c r="Z734" s="780"/>
      <c r="AA734" s="780"/>
      <c r="AB734" s="780"/>
      <c r="AC734" s="780"/>
      <c r="AD734" s="780"/>
      <c r="AE734" s="780"/>
      <c r="AF734" s="422"/>
      <c r="AG734" s="422"/>
      <c r="AH734" s="422"/>
      <c r="AI734" s="422"/>
      <c r="AJ734" s="422"/>
      <c r="AK734" s="422"/>
      <c r="AL734" s="422"/>
      <c r="AM734" s="306"/>
    </row>
    <row r="735" spans="1:39" ht="31" outlineLevel="1">
      <c r="A735" s="526">
        <v>47</v>
      </c>
      <c r="B735" s="425"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776"/>
      <c r="Z735" s="759"/>
      <c r="AA735" s="759"/>
      <c r="AB735" s="759"/>
      <c r="AC735" s="759"/>
      <c r="AD735" s="759"/>
      <c r="AE735" s="759"/>
      <c r="AF735" s="414"/>
      <c r="AG735" s="414"/>
      <c r="AH735" s="414"/>
      <c r="AI735" s="414"/>
      <c r="AJ735" s="414"/>
      <c r="AK735" s="414"/>
      <c r="AL735" s="414"/>
      <c r="AM735" s="296">
        <f>SUM(Y735:AL735)</f>
        <v>0</v>
      </c>
    </row>
    <row r="736" spans="1:39" ht="15.5" outlineLevel="1">
      <c r="A736" s="526"/>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760">
        <f>Y735</f>
        <v>0</v>
      </c>
      <c r="Z736" s="760">
        <f t="shared" si="1383" ref="Z736:AE736">Z735</f>
        <v>0</v>
      </c>
      <c r="AA736" s="760">
        <f t="shared" si="1383"/>
        <v>0</v>
      </c>
      <c r="AB736" s="760">
        <f t="shared" si="1383"/>
        <v>0</v>
      </c>
      <c r="AC736" s="760">
        <f t="shared" si="1383"/>
        <v>0</v>
      </c>
      <c r="AD736" s="760">
        <f t="shared" si="1383"/>
        <v>0</v>
      </c>
      <c r="AE736" s="760">
        <f t="shared" si="1383"/>
        <v>0</v>
      </c>
      <c r="AF736" s="410">
        <f t="shared" si="1384" ref="AF736">AF735</f>
        <v>0</v>
      </c>
      <c r="AG736" s="410">
        <f t="shared" si="1385" ref="AG736">AG735</f>
        <v>0</v>
      </c>
      <c r="AH736" s="410">
        <f t="shared" si="1386" ref="AH736">AH735</f>
        <v>0</v>
      </c>
      <c r="AI736" s="410">
        <f t="shared" si="1387" ref="AI736">AI735</f>
        <v>0</v>
      </c>
      <c r="AJ736" s="410">
        <f t="shared" si="1388" ref="AJ736">AJ735</f>
        <v>0</v>
      </c>
      <c r="AK736" s="410">
        <f t="shared" si="1389" ref="AK736">AK735</f>
        <v>0</v>
      </c>
      <c r="AL736" s="410">
        <f t="shared" si="1390" ref="AL736">AL735</f>
        <v>0</v>
      </c>
      <c r="AM736" s="306"/>
    </row>
    <row r="737" spans="1:39" ht="15.5" outlineLevel="1">
      <c r="A737" s="526"/>
      <c r="B737" s="425"/>
      <c r="C737" s="291"/>
      <c r="D737" s="750"/>
      <c r="E737" s="750"/>
      <c r="F737" s="750"/>
      <c r="G737" s="750"/>
      <c r="H737" s="750"/>
      <c r="I737" s="750"/>
      <c r="J737" s="750"/>
      <c r="K737" s="750"/>
      <c r="L737" s="750"/>
      <c r="M737" s="750"/>
      <c r="N737" s="750"/>
      <c r="O737" s="750"/>
      <c r="P737" s="750"/>
      <c r="Q737" s="750"/>
      <c r="R737" s="750"/>
      <c r="S737" s="750"/>
      <c r="T737" s="750"/>
      <c r="U737" s="750"/>
      <c r="V737" s="750"/>
      <c r="W737" s="750"/>
      <c r="X737" s="750"/>
      <c r="Y737" s="761"/>
      <c r="Z737" s="780"/>
      <c r="AA737" s="780"/>
      <c r="AB737" s="780"/>
      <c r="AC737" s="780"/>
      <c r="AD737" s="780"/>
      <c r="AE737" s="780"/>
      <c r="AF737" s="422"/>
      <c r="AG737" s="422"/>
      <c r="AH737" s="422"/>
      <c r="AI737" s="422"/>
      <c r="AJ737" s="422"/>
      <c r="AK737" s="422"/>
      <c r="AL737" s="422"/>
      <c r="AM737" s="306"/>
    </row>
    <row r="738" spans="1:39" ht="31" outlineLevel="1">
      <c r="A738" s="526">
        <v>48</v>
      </c>
      <c r="B738" s="425"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776"/>
      <c r="Z738" s="759"/>
      <c r="AA738" s="759"/>
      <c r="AB738" s="759"/>
      <c r="AC738" s="759"/>
      <c r="AD738" s="759"/>
      <c r="AE738" s="759"/>
      <c r="AF738" s="414"/>
      <c r="AG738" s="414"/>
      <c r="AH738" s="414"/>
      <c r="AI738" s="414"/>
      <c r="AJ738" s="414"/>
      <c r="AK738" s="414"/>
      <c r="AL738" s="414"/>
      <c r="AM738" s="296">
        <f>SUM(Y738:AL738)</f>
        <v>0</v>
      </c>
    </row>
    <row r="739" spans="1:39" ht="15.5" outlineLevel="1">
      <c r="A739" s="526"/>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760">
        <f>Y738</f>
        <v>0</v>
      </c>
      <c r="Z739" s="760">
        <f t="shared" si="1391" ref="Z739:AE739">Z738</f>
        <v>0</v>
      </c>
      <c r="AA739" s="760">
        <f t="shared" si="1391"/>
        <v>0</v>
      </c>
      <c r="AB739" s="760">
        <f t="shared" si="1391"/>
        <v>0</v>
      </c>
      <c r="AC739" s="760">
        <f t="shared" si="1391"/>
        <v>0</v>
      </c>
      <c r="AD739" s="760">
        <f t="shared" si="1391"/>
        <v>0</v>
      </c>
      <c r="AE739" s="760">
        <f t="shared" si="1391"/>
        <v>0</v>
      </c>
      <c r="AF739" s="410">
        <f t="shared" si="1392" ref="AF739">AF738</f>
        <v>0</v>
      </c>
      <c r="AG739" s="410">
        <f t="shared" si="1393" ref="AG739">AG738</f>
        <v>0</v>
      </c>
      <c r="AH739" s="410">
        <f t="shared" si="1394" ref="AH739">AH738</f>
        <v>0</v>
      </c>
      <c r="AI739" s="410">
        <f t="shared" si="1395" ref="AI739">AI738</f>
        <v>0</v>
      </c>
      <c r="AJ739" s="410">
        <f t="shared" si="1396" ref="AJ739">AJ738</f>
        <v>0</v>
      </c>
      <c r="AK739" s="410">
        <f t="shared" si="1397" ref="AK739">AK738</f>
        <v>0</v>
      </c>
      <c r="AL739" s="410">
        <f t="shared" si="1398" ref="AL739">AL738</f>
        <v>0</v>
      </c>
      <c r="AM739" s="306"/>
    </row>
    <row r="740" spans="1:39" ht="15.5" outlineLevel="1">
      <c r="A740" s="526"/>
      <c r="B740" s="425"/>
      <c r="C740" s="291"/>
      <c r="D740" s="750"/>
      <c r="E740" s="750"/>
      <c r="F740" s="750"/>
      <c r="G740" s="750"/>
      <c r="H740" s="750"/>
      <c r="I740" s="750"/>
      <c r="J740" s="750"/>
      <c r="K740" s="750"/>
      <c r="L740" s="750"/>
      <c r="M740" s="750"/>
      <c r="N740" s="750"/>
      <c r="O740" s="750"/>
      <c r="P740" s="750"/>
      <c r="Q740" s="750"/>
      <c r="R740" s="750"/>
      <c r="S740" s="750"/>
      <c r="T740" s="750"/>
      <c r="U740" s="750"/>
      <c r="V740" s="750"/>
      <c r="W740" s="750"/>
      <c r="X740" s="750"/>
      <c r="Y740" s="761"/>
      <c r="Z740" s="780"/>
      <c r="AA740" s="780"/>
      <c r="AB740" s="780"/>
      <c r="AC740" s="780"/>
      <c r="AD740" s="780"/>
      <c r="AE740" s="780"/>
      <c r="AF740" s="422"/>
      <c r="AG740" s="422"/>
      <c r="AH740" s="422"/>
      <c r="AI740" s="422"/>
      <c r="AJ740" s="422"/>
      <c r="AK740" s="422"/>
      <c r="AL740" s="422"/>
      <c r="AM740" s="306"/>
    </row>
    <row r="741" spans="1:39" ht="31" outlineLevel="1">
      <c r="A741" s="526">
        <v>49</v>
      </c>
      <c r="B741" s="425"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776"/>
      <c r="Z741" s="759"/>
      <c r="AA741" s="759"/>
      <c r="AB741" s="759"/>
      <c r="AC741" s="759"/>
      <c r="AD741" s="759"/>
      <c r="AE741" s="759"/>
      <c r="AF741" s="414"/>
      <c r="AG741" s="414"/>
      <c r="AH741" s="414"/>
      <c r="AI741" s="414"/>
      <c r="AJ741" s="414"/>
      <c r="AK741" s="414"/>
      <c r="AL741" s="414"/>
      <c r="AM741" s="296">
        <f>SUM(Y741:AL741)</f>
        <v>0</v>
      </c>
    </row>
    <row r="742" spans="1:39" ht="15.5" outlineLevel="1">
      <c r="A742" s="526"/>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0">
        <f>Y741</f>
        <v>0</v>
      </c>
      <c r="Z742" s="410">
        <f t="shared" si="1399" ref="Z742">Z741</f>
        <v>0</v>
      </c>
      <c r="AA742" s="410">
        <f t="shared" si="1400" ref="AA742">AA741</f>
        <v>0</v>
      </c>
      <c r="AB742" s="410">
        <f t="shared" si="1401" ref="AB742">AB741</f>
        <v>0</v>
      </c>
      <c r="AC742" s="410">
        <f t="shared" si="1402" ref="AC742">AC741</f>
        <v>0</v>
      </c>
      <c r="AD742" s="410">
        <f t="shared" si="1403" ref="AD742">AD741</f>
        <v>0</v>
      </c>
      <c r="AE742" s="410">
        <f t="shared" si="1404" ref="AE742">AE741</f>
        <v>0</v>
      </c>
      <c r="AF742" s="410">
        <f t="shared" si="1405" ref="AF742">AF741</f>
        <v>0</v>
      </c>
      <c r="AG742" s="410">
        <f t="shared" si="1406" ref="AG742">AG741</f>
        <v>0</v>
      </c>
      <c r="AH742" s="410">
        <f t="shared" si="1407" ref="AH742">AH741</f>
        <v>0</v>
      </c>
      <c r="AI742" s="410">
        <f t="shared" si="1408" ref="AI742">AI741</f>
        <v>0</v>
      </c>
      <c r="AJ742" s="410">
        <f t="shared" si="1409" ref="AJ742">AJ741</f>
        <v>0</v>
      </c>
      <c r="AK742" s="410">
        <f t="shared" si="1410" ref="AK742">AK741</f>
        <v>0</v>
      </c>
      <c r="AL742" s="410">
        <f t="shared" si="1411" ref="AL742">AL741</f>
        <v>0</v>
      </c>
      <c r="AM742" s="306"/>
    </row>
    <row r="743" spans="1:39" ht="15.5" outlineLevel="1">
      <c r="A743" s="526"/>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1"/>
      <c r="Z743" s="411"/>
      <c r="AA743" s="411"/>
      <c r="AB743" s="411"/>
      <c r="AC743" s="411"/>
      <c r="AD743" s="411"/>
      <c r="AE743" s="411"/>
      <c r="AF743" s="411"/>
      <c r="AG743" s="411"/>
      <c r="AH743" s="411"/>
      <c r="AI743" s="411"/>
      <c r="AJ743" s="411"/>
      <c r="AK743" s="411"/>
      <c r="AL743" s="411"/>
      <c r="AM743" s="306"/>
    </row>
    <row r="744" spans="2:39" ht="15.5">
      <c r="B744" s="326" t="s">
        <v>311</v>
      </c>
      <c r="C744" s="328"/>
      <c r="D744" s="328">
        <f>SUM(D587:D742)</f>
        <v>3287635.7720774077</v>
      </c>
      <c r="E744" s="328"/>
      <c r="F744" s="328"/>
      <c r="G744" s="328"/>
      <c r="H744" s="328"/>
      <c r="I744" s="328"/>
      <c r="J744" s="328"/>
      <c r="K744" s="328"/>
      <c r="L744" s="328"/>
      <c r="M744" s="328"/>
      <c r="N744" s="328"/>
      <c r="O744" s="328">
        <f>SUM(O587:O742)</f>
        <v>416.63298821731615</v>
      </c>
      <c r="P744" s="328"/>
      <c r="Q744" s="328"/>
      <c r="R744" s="328"/>
      <c r="S744" s="328"/>
      <c r="T744" s="328"/>
      <c r="U744" s="328"/>
      <c r="V744" s="328"/>
      <c r="W744" s="328"/>
      <c r="X744" s="328"/>
      <c r="Y744" s="328">
        <f>IF(Y585="kWh",SUMPRODUCT(D587:D742,Y587:Y742))</f>
        <v>1483285.17652239</v>
      </c>
      <c r="Z744" s="328">
        <f>IF(Z585="kWh",SUMPRODUCT(D587:D742,Z587:Z742))</f>
        <v>321273.11745681294</v>
      </c>
      <c r="AA744" s="328">
        <f>IF(AA585="kw",SUMPRODUCT(N587:N742,O587:O742,AA587:AA742),SUMPRODUCT(D587:D742,AA587:AA742))</f>
        <v>1223.2056445283502</v>
      </c>
      <c r="AB744" s="328">
        <f>IF(AB585="kw",SUMPRODUCT(N587:N742,O587:O742,AB587:AB742),SUMPRODUCT(D587:D742,AB587:AB742))</f>
        <v>1033.8362841440796</v>
      </c>
      <c r="AC744" s="328">
        <f>IF(AC585="kw",SUMPRODUCT(N587:N742,O587:O742,AC587:AC742),SUMPRODUCT(D587:D742,AC587:AC742))</f>
        <v>0</v>
      </c>
      <c r="AD744" s="328">
        <f>IF(AD585="kw",SUMPRODUCT(N587:N742,O587:O742,AD587:AD742),SUMPRODUCT(D587:D742,AD587:AD742))</f>
        <v>0</v>
      </c>
      <c r="AE744" s="806">
        <f>-'8.  Streetlighting'!G108</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2:39" ht="15.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691161</v>
      </c>
      <c r="Z745" s="391">
        <f>HLOOKUP(Z401,'2. LRAMVA Threshold'!$B$42:$Q$53,10,FALSE)</f>
        <v>74889</v>
      </c>
      <c r="AA745" s="391">
        <f>HLOOKUP(AA401,'2. LRAMVA Threshold'!$B$42:$Q$53,10,FALSE)</f>
        <v>3272</v>
      </c>
      <c r="AB745" s="391">
        <f>HLOOKUP(AB401,'2. LRAMVA Threshold'!$B$42:$Q$53,10,FALSE)</f>
        <v>2873</v>
      </c>
      <c r="AC745" s="391">
        <f>HLOOKUP(AC401,'2. LRAMVA Threshold'!$B$42:$Q$53,10,FALSE)</f>
        <v>0</v>
      </c>
      <c r="AD745" s="391">
        <f>HLOOKUP(AD401,'2. LRAMVA Threshold'!$B$42:$Q$53,10,FALSE)</f>
        <v>0</v>
      </c>
      <c r="AE745" s="391">
        <f>HLOOKUP(AE401,'2. LRAMVA Threshold'!$B$42:$Q$53,10,FALSE)</f>
        <v>3777</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39"/>
    </row>
    <row r="746" spans="2:39" ht="15.5">
      <c r="B746" s="393"/>
      <c r="C746" s="429"/>
      <c r="D746" s="430"/>
      <c r="E746" s="430"/>
      <c r="F746" s="430"/>
      <c r="G746" s="430"/>
      <c r="H746" s="430"/>
      <c r="I746" s="430"/>
      <c r="J746" s="430"/>
      <c r="K746" s="430"/>
      <c r="L746" s="430"/>
      <c r="M746" s="430"/>
      <c r="N746" s="430"/>
      <c r="O746" s="431"/>
      <c r="P746" s="430"/>
      <c r="Q746" s="430"/>
      <c r="R746" s="430"/>
      <c r="S746" s="432"/>
      <c r="T746" s="432"/>
      <c r="U746" s="432"/>
      <c r="V746" s="432"/>
      <c r="W746" s="430"/>
      <c r="X746" s="430"/>
      <c r="Y746" s="433"/>
      <c r="Z746" s="433"/>
      <c r="AA746" s="433"/>
      <c r="AB746" s="433"/>
      <c r="AC746" s="433"/>
      <c r="AD746" s="433"/>
      <c r="AE746" s="433"/>
      <c r="AF746" s="398"/>
      <c r="AG746" s="398"/>
      <c r="AH746" s="398"/>
      <c r="AI746" s="398"/>
      <c r="AJ746" s="398"/>
      <c r="AK746" s="398"/>
      <c r="AL746" s="398"/>
      <c r="AM746" s="399"/>
    </row>
    <row r="747" spans="2:40" ht="15.5">
      <c r="B747" s="323" t="s">
        <v>313</v>
      </c>
      <c r="C747" s="337"/>
      <c r="D747" s="337"/>
      <c r="E747" s="375"/>
      <c r="F747" s="375"/>
      <c r="G747" s="375"/>
      <c r="H747" s="375"/>
      <c r="I747" s="375"/>
      <c r="J747" s="375"/>
      <c r="K747" s="375"/>
      <c r="L747" s="375"/>
      <c r="M747" s="375"/>
      <c r="N747" s="375"/>
      <c r="O747" s="291"/>
      <c r="P747" s="339"/>
      <c r="Q747" s="339"/>
      <c r="R747" s="339"/>
      <c r="S747" s="338"/>
      <c r="T747" s="338"/>
      <c r="U747" s="338"/>
      <c r="V747" s="338"/>
      <c r="W747" s="339"/>
      <c r="X747" s="339"/>
      <c r="Y747" s="340">
        <f>HLOOKUP(Y$35,'3.  Distribution Rates'!$C$122:$P$133,10,FALSE)</f>
        <v>0.0044999999999999997</v>
      </c>
      <c r="Z747" s="340">
        <f>HLOOKUP(Z$35,'3.  Distribution Rates'!$C$122:$P$133,10,FALSE)</f>
        <v>0.010200000000000001</v>
      </c>
      <c r="AA747" s="340">
        <f>HLOOKUP(AA$35,'3.  Distribution Rates'!$C$122:$P$133,10,FALSE)</f>
        <v>3.8428</v>
      </c>
      <c r="AB747" s="340">
        <f>HLOOKUP(AB$35,'3.  Distribution Rates'!$C$122:$P$133,10,FALSE)</f>
        <v>3.4567999999999999</v>
      </c>
      <c r="AC747" s="340">
        <f>HLOOKUP(AC$35,'3.  Distribution Rates'!$C$122:$P$133,10,FALSE)</f>
        <v>0.0054000000000000003</v>
      </c>
      <c r="AD747" s="340">
        <f>HLOOKUP(AD$35,'3.  Distribution Rates'!$C$122:$P$133,10,FALSE)</f>
        <v>35.763100000000001</v>
      </c>
      <c r="AE747" s="340">
        <f>HLOOKUP(AE$35,'3.  Distribution Rates'!$C$122:$P$133,10,FALSE)</f>
        <v>1.5462</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0"/>
    </row>
    <row r="748" spans="2:40" ht="15.5">
      <c r="B748" s="323" t="s">
        <v>314</v>
      </c>
      <c r="C748" s="344"/>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2">
        <f t="shared" si="1412" ref="AM748:AM755">SUM(Y748:AL748)</f>
        <v>0</v>
      </c>
      <c r="AN748" s="440"/>
    </row>
    <row r="749" spans="2:40" ht="15.5">
      <c r="B749" s="323" t="s">
        <v>315</v>
      </c>
      <c r="C749" s="344"/>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2">
        <f t="shared" si="1412"/>
        <v>0</v>
      </c>
      <c r="AN749" s="440"/>
    </row>
    <row r="750" spans="2:40" ht="15.5">
      <c r="B750" s="323" t="s">
        <v>316</v>
      </c>
      <c r="C750" s="344"/>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2">
        <f t="shared" si="1412"/>
        <v>0</v>
      </c>
      <c r="AN750" s="440"/>
    </row>
    <row r="751" spans="2:40" ht="15.5">
      <c r="B751" s="323" t="s">
        <v>317</v>
      </c>
      <c r="C751" s="344"/>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2">
        <f t="shared" si="1412"/>
        <v>0</v>
      </c>
      <c r="AN751" s="440"/>
    </row>
    <row r="752" spans="2:40" ht="15.5">
      <c r="B752" s="323" t="s">
        <v>318</v>
      </c>
      <c r="C752" s="344"/>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7">
        <f t="shared" si="1413" ref="Y752:AL752">Y210*Y747</f>
        <v>5475.9105</v>
      </c>
      <c r="Z752" s="377">
        <f t="shared" si="1413"/>
        <v>15878.378607571767</v>
      </c>
      <c r="AA752" s="377">
        <f t="shared" si="1413"/>
        <v>8321.9540109614863</v>
      </c>
      <c r="AB752" s="377">
        <f t="shared" si="1413"/>
        <v>7712.8832925890265</v>
      </c>
      <c r="AC752" s="377">
        <f t="shared" si="1413"/>
        <v>0</v>
      </c>
      <c r="AD752" s="377">
        <f t="shared" si="1413"/>
        <v>0</v>
      </c>
      <c r="AE752" s="377">
        <f t="shared" si="1413"/>
        <v>587.16949947840044</v>
      </c>
      <c r="AF752" s="377">
        <f t="shared" si="1413"/>
        <v>0</v>
      </c>
      <c r="AG752" s="377">
        <f t="shared" si="1413"/>
        <v>0</v>
      </c>
      <c r="AH752" s="377">
        <f t="shared" si="1413"/>
        <v>0</v>
      </c>
      <c r="AI752" s="377">
        <f t="shared" si="1413"/>
        <v>0</v>
      </c>
      <c r="AJ752" s="377">
        <f t="shared" si="1413"/>
        <v>0</v>
      </c>
      <c r="AK752" s="377">
        <f t="shared" si="1413"/>
        <v>0</v>
      </c>
      <c r="AL752" s="377">
        <f t="shared" si="1413"/>
        <v>0</v>
      </c>
      <c r="AM752" s="622">
        <f t="shared" si="1412"/>
        <v>37976.295910600675</v>
      </c>
      <c r="AN752" s="440"/>
    </row>
    <row r="753" spans="2:40" ht="15.5">
      <c r="B753" s="323" t="s">
        <v>319</v>
      </c>
      <c r="C753" s="344"/>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7">
        <f t="shared" si="1414" ref="Y753:AL753">Y393*Y747</f>
        <v>11681.639999999999</v>
      </c>
      <c r="Z753" s="377">
        <f t="shared" si="1414"/>
        <v>3134.5736563030118</v>
      </c>
      <c r="AA753" s="377">
        <f t="shared" si="1414"/>
        <v>209.15338109985393</v>
      </c>
      <c r="AB753" s="377">
        <f t="shared" si="1414"/>
        <v>944.94417467685378</v>
      </c>
      <c r="AC753" s="377">
        <f t="shared" si="1414"/>
        <v>0</v>
      </c>
      <c r="AD753" s="377">
        <f t="shared" si="1414"/>
        <v>0</v>
      </c>
      <c r="AE753" s="377">
        <f t="shared" si="1414"/>
        <v>5525.9980232256003</v>
      </c>
      <c r="AF753" s="377">
        <f t="shared" si="1414"/>
        <v>0</v>
      </c>
      <c r="AG753" s="377">
        <f t="shared" si="1414"/>
        <v>0</v>
      </c>
      <c r="AH753" s="377">
        <f t="shared" si="1414"/>
        <v>0</v>
      </c>
      <c r="AI753" s="377">
        <f t="shared" si="1414"/>
        <v>0</v>
      </c>
      <c r="AJ753" s="377">
        <f t="shared" si="1414"/>
        <v>0</v>
      </c>
      <c r="AK753" s="377">
        <f t="shared" si="1414"/>
        <v>0</v>
      </c>
      <c r="AL753" s="377">
        <f t="shared" si="1414"/>
        <v>0</v>
      </c>
      <c r="AM753" s="622">
        <f t="shared" si="1412"/>
        <v>21496.309235305318</v>
      </c>
      <c r="AN753" s="440"/>
    </row>
    <row r="754" spans="2:40" ht="15.5">
      <c r="B754" s="323" t="s">
        <v>320</v>
      </c>
      <c r="C754" s="344"/>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7">
        <f t="shared" si="1415" ref="Y754:AL754">Y576*Y747</f>
        <v>21527.900890784516</v>
      </c>
      <c r="Z754" s="377">
        <f t="shared" si="1415"/>
        <v>12593.349068629626</v>
      </c>
      <c r="AA754" s="377">
        <f t="shared" si="1415"/>
        <v>10861.96889283071</v>
      </c>
      <c r="AB754" s="377">
        <f t="shared" si="1415"/>
        <v>7054.212996488809</v>
      </c>
      <c r="AC754" s="377">
        <f t="shared" si="1415"/>
        <v>0</v>
      </c>
      <c r="AD754" s="377">
        <f t="shared" si="1415"/>
        <v>0</v>
      </c>
      <c r="AE754" s="377">
        <f t="shared" si="1415"/>
        <v>352.95300365760045</v>
      </c>
      <c r="AF754" s="377">
        <f t="shared" si="1415"/>
        <v>0</v>
      </c>
      <c r="AG754" s="377">
        <f t="shared" si="1415"/>
        <v>0</v>
      </c>
      <c r="AH754" s="377">
        <f t="shared" si="1415"/>
        <v>0</v>
      </c>
      <c r="AI754" s="377">
        <f t="shared" si="1415"/>
        <v>0</v>
      </c>
      <c r="AJ754" s="377">
        <f t="shared" si="1415"/>
        <v>0</v>
      </c>
      <c r="AK754" s="377">
        <f t="shared" si="1415"/>
        <v>0</v>
      </c>
      <c r="AL754" s="377">
        <f t="shared" si="1415"/>
        <v>0</v>
      </c>
      <c r="AM754" s="622">
        <f t="shared" si="1412"/>
        <v>52390.38485239126</v>
      </c>
      <c r="AN754" s="440"/>
    </row>
    <row r="755" spans="2:40" ht="15.5">
      <c r="B755" s="323" t="s">
        <v>321</v>
      </c>
      <c r="C755" s="344"/>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7">
        <f>Y744*Y747</f>
        <v>6674.7832943507547</v>
      </c>
      <c r="Z755" s="377">
        <f t="shared" si="1416" ref="Z755:AL755">Z744*Z747</f>
        <v>3276.985798059492</v>
      </c>
      <c r="AA755" s="377">
        <f t="shared" si="1416"/>
        <v>4700.5346507935437</v>
      </c>
      <c r="AB755" s="377">
        <f t="shared" si="1416"/>
        <v>3573.7652670292541</v>
      </c>
      <c r="AC755" s="377">
        <f t="shared" si="1416"/>
        <v>0</v>
      </c>
      <c r="AD755" s="377">
        <f t="shared" si="1416"/>
        <v>0</v>
      </c>
      <c r="AE755" s="377">
        <f t="shared" si="1416"/>
        <v>0</v>
      </c>
      <c r="AF755" s="377">
        <f t="shared" si="1416"/>
        <v>0</v>
      </c>
      <c r="AG755" s="377">
        <f t="shared" si="1416"/>
        <v>0</v>
      </c>
      <c r="AH755" s="377">
        <f t="shared" si="1416"/>
        <v>0</v>
      </c>
      <c r="AI755" s="377">
        <f t="shared" si="1416"/>
        <v>0</v>
      </c>
      <c r="AJ755" s="377">
        <f t="shared" si="1416"/>
        <v>0</v>
      </c>
      <c r="AK755" s="377">
        <f t="shared" si="1416"/>
        <v>0</v>
      </c>
      <c r="AL755" s="377">
        <f t="shared" si="1416"/>
        <v>0</v>
      </c>
      <c r="AM755" s="622">
        <f t="shared" si="1412"/>
        <v>18226.069010233045</v>
      </c>
      <c r="AN755" s="440"/>
    </row>
    <row r="756" spans="2:40" ht="15.5">
      <c r="B756" s="348" t="s">
        <v>322</v>
      </c>
      <c r="C756" s="344"/>
      <c r="D756" s="335"/>
      <c r="E756" s="333"/>
      <c r="F756" s="333"/>
      <c r="G756" s="333"/>
      <c r="H756" s="333"/>
      <c r="I756" s="333"/>
      <c r="J756" s="333"/>
      <c r="K756" s="333"/>
      <c r="L756" s="333"/>
      <c r="M756" s="333"/>
      <c r="N756" s="333"/>
      <c r="O756" s="300"/>
      <c r="P756" s="333"/>
      <c r="Q756" s="333"/>
      <c r="R756" s="333"/>
      <c r="S756" s="335"/>
      <c r="T756" s="335"/>
      <c r="U756" s="335"/>
      <c r="V756" s="335"/>
      <c r="W756" s="333"/>
      <c r="X756" s="333"/>
      <c r="Y756" s="345">
        <f>SUM(Y748:Y755)</f>
        <v>45360.234685135263</v>
      </c>
      <c r="Z756" s="345">
        <f>SUM(Z748:Z755)</f>
        <v>34883.287130563898</v>
      </c>
      <c r="AA756" s="345">
        <f t="shared" si="1417" ref="AA756:AE756">SUM(AA748:AA755)</f>
        <v>24093.610935685592</v>
      </c>
      <c r="AB756" s="345">
        <f t="shared" si="1417"/>
        <v>19285.805730783944</v>
      </c>
      <c r="AC756" s="345">
        <f t="shared" si="1417"/>
        <v>0</v>
      </c>
      <c r="AD756" s="345">
        <f t="shared" si="1417"/>
        <v>0</v>
      </c>
      <c r="AE756" s="345">
        <f t="shared" si="1417"/>
        <v>6466.1205263616012</v>
      </c>
      <c r="AF756" s="345">
        <f t="shared" si="1418" ref="AF756:AL756">SUM(AF748:AF755)</f>
        <v>0</v>
      </c>
      <c r="AG756" s="345">
        <f t="shared" si="1418"/>
        <v>0</v>
      </c>
      <c r="AH756" s="345">
        <f t="shared" si="1418"/>
        <v>0</v>
      </c>
      <c r="AI756" s="345">
        <f t="shared" si="1418"/>
        <v>0</v>
      </c>
      <c r="AJ756" s="345">
        <f t="shared" si="1418"/>
        <v>0</v>
      </c>
      <c r="AK756" s="345">
        <f t="shared" si="1418"/>
        <v>0</v>
      </c>
      <c r="AL756" s="345">
        <f t="shared" si="1418"/>
        <v>0</v>
      </c>
      <c r="AM756" s="406">
        <f>SUM(AM748:AM755)</f>
        <v>130089.0590085303</v>
      </c>
      <c r="AN756" s="440"/>
    </row>
    <row r="757" spans="2:40" ht="15.5">
      <c r="B757" s="348" t="s">
        <v>323</v>
      </c>
      <c r="C757" s="344"/>
      <c r="D757" s="349"/>
      <c r="E757" s="333"/>
      <c r="F757" s="333"/>
      <c r="G757" s="333"/>
      <c r="H757" s="333"/>
      <c r="I757" s="333"/>
      <c r="J757" s="333"/>
      <c r="K757" s="333"/>
      <c r="L757" s="333"/>
      <c r="M757" s="333"/>
      <c r="N757" s="333"/>
      <c r="O757" s="300"/>
      <c r="P757" s="333"/>
      <c r="Q757" s="333"/>
      <c r="R757" s="333"/>
      <c r="S757" s="335"/>
      <c r="T757" s="335"/>
      <c r="U757" s="335"/>
      <c r="V757" s="335"/>
      <c r="W757" s="333"/>
      <c r="X757" s="333"/>
      <c r="Y757" s="346">
        <f>Y745*Y747</f>
        <v>3110.2244999999998</v>
      </c>
      <c r="Z757" s="346">
        <f t="shared" si="1419" ref="Z757:AE757">Z745*Z747</f>
        <v>763.8678000000001</v>
      </c>
      <c r="AA757" s="346">
        <f t="shared" si="1419"/>
        <v>12573.641600000001</v>
      </c>
      <c r="AB757" s="346">
        <f t="shared" si="1419"/>
        <v>9931.3863999999994</v>
      </c>
      <c r="AC757" s="346">
        <f t="shared" si="1419"/>
        <v>0</v>
      </c>
      <c r="AD757" s="346">
        <f t="shared" si="1419"/>
        <v>0</v>
      </c>
      <c r="AE757" s="346">
        <f t="shared" si="1419"/>
        <v>5839.9974000000002</v>
      </c>
      <c r="AF757" s="346">
        <f t="shared" si="1420" ref="AF757:AL757">AF745*AF747</f>
        <v>0</v>
      </c>
      <c r="AG757" s="346">
        <f t="shared" si="1420"/>
        <v>0</v>
      </c>
      <c r="AH757" s="346">
        <f t="shared" si="1420"/>
        <v>0</v>
      </c>
      <c r="AI757" s="346">
        <f t="shared" si="1420"/>
        <v>0</v>
      </c>
      <c r="AJ757" s="346">
        <f t="shared" si="1420"/>
        <v>0</v>
      </c>
      <c r="AK757" s="346">
        <f t="shared" si="1420"/>
        <v>0</v>
      </c>
      <c r="AL757" s="346">
        <f t="shared" si="1420"/>
        <v>0</v>
      </c>
      <c r="AM757" s="406">
        <f>SUM(Y757:AL757)</f>
        <v>32219.117699999999</v>
      </c>
      <c r="AN757" s="440"/>
    </row>
    <row r="758" spans="2:40" ht="15.5">
      <c r="B758" s="348" t="s">
        <v>324</v>
      </c>
      <c r="C758" s="344"/>
      <c r="D758" s="349"/>
      <c r="E758" s="333"/>
      <c r="F758" s="333"/>
      <c r="G758" s="333"/>
      <c r="H758" s="333"/>
      <c r="I758" s="333"/>
      <c r="J758" s="333"/>
      <c r="K758" s="333"/>
      <c r="L758" s="333"/>
      <c r="M758" s="333"/>
      <c r="N758" s="333"/>
      <c r="O758" s="300"/>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97869.941308530295</v>
      </c>
      <c r="AN758" s="440"/>
    </row>
    <row r="759" spans="2:40" ht="15.5">
      <c r="B759" s="323"/>
      <c r="C759" s="349"/>
      <c r="D759" s="349"/>
      <c r="E759" s="333"/>
      <c r="F759" s="333"/>
      <c r="G759" s="333"/>
      <c r="H759" s="333"/>
      <c r="I759" s="333"/>
      <c r="J759" s="333"/>
      <c r="K759" s="333"/>
      <c r="L759" s="333"/>
      <c r="M759" s="333"/>
      <c r="N759" s="333"/>
      <c r="O759" s="300"/>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0"/>
    </row>
    <row r="760" spans="2:39" ht="15.5">
      <c r="B760" s="436" t="s">
        <v>325</v>
      </c>
      <c r="C760" s="304"/>
      <c r="D760" s="279"/>
      <c r="E760" s="279"/>
      <c r="F760" s="279"/>
      <c r="G760" s="279"/>
      <c r="H760" s="279"/>
      <c r="I760" s="279"/>
      <c r="J760" s="279"/>
      <c r="K760" s="279"/>
      <c r="L760" s="279"/>
      <c r="M760" s="279"/>
      <c r="N760" s="279"/>
      <c r="O760" s="356"/>
      <c r="P760" s="279"/>
      <c r="Q760" s="279"/>
      <c r="R760" s="279"/>
      <c r="S760" s="304"/>
      <c r="T760" s="309"/>
      <c r="U760" s="309"/>
      <c r="V760" s="279"/>
      <c r="W760" s="279"/>
      <c r="X760" s="309"/>
      <c r="Y760" s="291">
        <f>SUMPRODUCT(E587:E742,Y587:Y742)</f>
        <v>1478684.7701698598</v>
      </c>
      <c r="Z760" s="291">
        <f>SUMPRODUCT(E587:E742,Z587:Z742)</f>
        <v>319202.55321237608</v>
      </c>
      <c r="AA760" s="291">
        <f t="shared" si="1421" ref="AA760:AL760">IF(AA585="kw",SUMPRODUCT($N$587:$N$742,$P$587:$P$742,AA587:AA742),SUMPRODUCT($E$587:$E$742,AA587:AA742))</f>
        <v>1213.344694904232</v>
      </c>
      <c r="AB760" s="291">
        <f t="shared" si="1421"/>
        <v>1025.724661444523</v>
      </c>
      <c r="AC760" s="291">
        <f t="shared" si="1421"/>
        <v>0</v>
      </c>
      <c r="AD760" s="291">
        <f t="shared" si="1421"/>
        <v>0</v>
      </c>
      <c r="AE760" s="807">
        <f>'8.  Streetlighting'!G109</f>
        <v>0</v>
      </c>
      <c r="AF760" s="291">
        <f t="shared" si="1421"/>
        <v>0</v>
      </c>
      <c r="AG760" s="291">
        <f t="shared" si="1421"/>
        <v>0</v>
      </c>
      <c r="AH760" s="291">
        <f t="shared" si="1421"/>
        <v>0</v>
      </c>
      <c r="AI760" s="291">
        <f t="shared" si="1421"/>
        <v>0</v>
      </c>
      <c r="AJ760" s="291">
        <f t="shared" si="1421"/>
        <v>0</v>
      </c>
      <c r="AK760" s="291">
        <f t="shared" si="1421"/>
        <v>0</v>
      </c>
      <c r="AL760" s="291">
        <f t="shared" si="1421"/>
        <v>0</v>
      </c>
      <c r="AM760" s="336"/>
    </row>
    <row r="761" spans="2:39" ht="15.5">
      <c r="B761" s="437"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1474084.3638173298</v>
      </c>
      <c r="Z761" s="325">
        <f>SUMPRODUCT(F587:F742,Z587:Z742)</f>
        <v>317131.98896793922</v>
      </c>
      <c r="AA761" s="325">
        <f t="shared" si="1422" ref="AA761:AL761">IF(AA585="kw",SUMPRODUCT($N$587:$N$742,$Q$587:$Q$742,AA587:AA742),SUMPRODUCT($F$587:$F$742,AA587:AA742))</f>
        <v>1200.5891569070441</v>
      </c>
      <c r="AB761" s="325">
        <f t="shared" si="1422"/>
        <v>1015.3365992041299</v>
      </c>
      <c r="AC761" s="325">
        <f t="shared" si="1422"/>
        <v>0</v>
      </c>
      <c r="AD761" s="325">
        <f t="shared" si="1422"/>
        <v>0</v>
      </c>
      <c r="AE761" s="808">
        <f>'8.  Streetlighting'!G110</f>
        <v>0</v>
      </c>
      <c r="AF761" s="325">
        <f t="shared" si="1422"/>
        <v>0</v>
      </c>
      <c r="AG761" s="325">
        <f t="shared" si="1422"/>
        <v>0</v>
      </c>
      <c r="AH761" s="325">
        <f t="shared" si="1422"/>
        <v>0</v>
      </c>
      <c r="AI761" s="325">
        <f t="shared" si="1422"/>
        <v>0</v>
      </c>
      <c r="AJ761" s="325">
        <f t="shared" si="1422"/>
        <v>0</v>
      </c>
      <c r="AK761" s="325">
        <f t="shared" si="1422"/>
        <v>0</v>
      </c>
      <c r="AL761" s="325">
        <f t="shared" si="1422"/>
        <v>0</v>
      </c>
      <c r="AM761" s="385"/>
    </row>
    <row r="762" spans="2:39" ht="20.25" customHeight="1">
      <c r="B762" s="367" t="s">
        <v>586</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2:38" ht="15.5">
      <c r="B765" s="280" t="s">
        <v>327</v>
      </c>
      <c r="C765" s="281"/>
      <c r="D765" s="583" t="s">
        <v>525</v>
      </c>
      <c r="E765" s="253"/>
      <c r="F765" s="583"/>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2:39" ht="33" customHeight="1">
      <c r="B766" s="902" t="s">
        <v>211</v>
      </c>
      <c r="C766" s="904" t="s">
        <v>33</v>
      </c>
      <c r="D766" s="284" t="s">
        <v>421</v>
      </c>
      <c r="E766" s="906" t="s">
        <v>209</v>
      </c>
      <c r="F766" s="907"/>
      <c r="G766" s="907"/>
      <c r="H766" s="907"/>
      <c r="I766" s="907"/>
      <c r="J766" s="907"/>
      <c r="K766" s="907"/>
      <c r="L766" s="907"/>
      <c r="M766" s="908"/>
      <c r="N766" s="909" t="s">
        <v>213</v>
      </c>
      <c r="O766" s="284" t="s">
        <v>422</v>
      </c>
      <c r="P766" s="906" t="s">
        <v>212</v>
      </c>
      <c r="Q766" s="907"/>
      <c r="R766" s="907"/>
      <c r="S766" s="907"/>
      <c r="T766" s="907"/>
      <c r="U766" s="907"/>
      <c r="V766" s="907"/>
      <c r="W766" s="907"/>
      <c r="X766" s="908"/>
      <c r="Y766" s="899" t="s">
        <v>243</v>
      </c>
      <c r="Z766" s="900"/>
      <c r="AA766" s="900"/>
      <c r="AB766" s="900"/>
      <c r="AC766" s="900"/>
      <c r="AD766" s="900"/>
      <c r="AE766" s="900"/>
      <c r="AF766" s="900"/>
      <c r="AG766" s="900"/>
      <c r="AH766" s="900"/>
      <c r="AI766" s="900"/>
      <c r="AJ766" s="900"/>
      <c r="AK766" s="900"/>
      <c r="AL766" s="900"/>
      <c r="AM766" s="901"/>
    </row>
    <row r="767" spans="2:39" ht="65.25" customHeight="1">
      <c r="B767" s="903"/>
      <c r="C767" s="905"/>
      <c r="D767" s="285">
        <v>2019</v>
      </c>
      <c r="E767" s="285">
        <v>2020</v>
      </c>
      <c r="F767" s="285">
        <v>2021</v>
      </c>
      <c r="G767" s="285">
        <v>2022</v>
      </c>
      <c r="H767" s="285">
        <v>2023</v>
      </c>
      <c r="I767" s="285">
        <v>2024</v>
      </c>
      <c r="J767" s="285">
        <v>2025</v>
      </c>
      <c r="K767" s="285">
        <v>2026</v>
      </c>
      <c r="L767" s="285">
        <v>2027</v>
      </c>
      <c r="M767" s="285">
        <v>2028</v>
      </c>
      <c r="N767" s="91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50 - 999 kW</v>
      </c>
      <c r="AB767" s="285" t="str">
        <f>'1.  LRAMVA Summary'!G52</f>
        <v>GS 1,000 - 4,999 kW</v>
      </c>
      <c r="AC767" s="285" t="str">
        <f>'1.  LRAMVA Summary'!H52</f>
        <v>USL</v>
      </c>
      <c r="AD767" s="285" t="str">
        <f>'1.  LRAMVA Summary'!I52</f>
        <v>Sentinel Lighting</v>
      </c>
      <c r="AE767" s="285" t="str">
        <f>'1.  LRAMVA Summary'!J52</f>
        <v>Street Lighting</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39" ht="15.75" customHeight="1">
      <c r="A768" s="526"/>
      <c r="B768" s="512"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outlineLevel="1">
      <c r="A769" s="526"/>
      <c r="B769" s="498"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outlineLevel="1">
      <c r="A770" s="526">
        <v>1</v>
      </c>
      <c r="B770" s="425"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09"/>
      <c r="Z770" s="409"/>
      <c r="AA770" s="409"/>
      <c r="AB770" s="409"/>
      <c r="AC770" s="409"/>
      <c r="AD770" s="409"/>
      <c r="AE770" s="409"/>
      <c r="AF770" s="409"/>
      <c r="AG770" s="409"/>
      <c r="AH770" s="409"/>
      <c r="AI770" s="409"/>
      <c r="AJ770" s="409"/>
      <c r="AK770" s="409"/>
      <c r="AL770" s="409"/>
      <c r="AM770" s="296">
        <f>SUM(Y770:AL770)</f>
        <v>0</v>
      </c>
    </row>
    <row r="771" spans="1:39" ht="15.5" outlineLevel="1">
      <c r="A771" s="526"/>
      <c r="B771" s="294" t="s">
        <v>342</v>
      </c>
      <c r="C771" s="291" t="s">
        <v>163</v>
      </c>
      <c r="D771" s="295"/>
      <c r="E771" s="295"/>
      <c r="F771" s="295"/>
      <c r="G771" s="295"/>
      <c r="H771" s="295"/>
      <c r="I771" s="295"/>
      <c r="J771" s="295"/>
      <c r="K771" s="295"/>
      <c r="L771" s="295"/>
      <c r="M771" s="295"/>
      <c r="N771" s="464"/>
      <c r="O771" s="295"/>
      <c r="P771" s="295"/>
      <c r="Q771" s="295"/>
      <c r="R771" s="295"/>
      <c r="S771" s="295"/>
      <c r="T771" s="295"/>
      <c r="U771" s="295"/>
      <c r="V771" s="295"/>
      <c r="W771" s="295"/>
      <c r="X771" s="295"/>
      <c r="Y771" s="410">
        <f>Y770</f>
        <v>0</v>
      </c>
      <c r="Z771" s="410">
        <f t="shared" si="1423" ref="Z771">Z770</f>
        <v>0</v>
      </c>
      <c r="AA771" s="410">
        <f t="shared" si="1424" ref="AA771">AA770</f>
        <v>0</v>
      </c>
      <c r="AB771" s="410">
        <f t="shared" si="1425" ref="AB771">AB770</f>
        <v>0</v>
      </c>
      <c r="AC771" s="410">
        <f t="shared" si="1426" ref="AC771">AC770</f>
        <v>0</v>
      </c>
      <c r="AD771" s="410">
        <f t="shared" si="1427" ref="AD771">AD770</f>
        <v>0</v>
      </c>
      <c r="AE771" s="410">
        <f t="shared" si="1428" ref="AE771">AE770</f>
        <v>0</v>
      </c>
      <c r="AF771" s="410">
        <f t="shared" si="1429" ref="AF771">AF770</f>
        <v>0</v>
      </c>
      <c r="AG771" s="410">
        <f t="shared" si="1430" ref="AG771">AG770</f>
        <v>0</v>
      </c>
      <c r="AH771" s="410">
        <f t="shared" si="1431" ref="AH771">AH770</f>
        <v>0</v>
      </c>
      <c r="AI771" s="410">
        <f t="shared" si="1432" ref="AI771">AI770</f>
        <v>0</v>
      </c>
      <c r="AJ771" s="410">
        <f t="shared" si="1433" ref="AJ771">AJ770</f>
        <v>0</v>
      </c>
      <c r="AK771" s="410">
        <f t="shared" si="1434" ref="AK771">AK770</f>
        <v>0</v>
      </c>
      <c r="AL771" s="410">
        <f t="shared" si="1435" ref="AL771">AL770</f>
        <v>0</v>
      </c>
      <c r="AM771" s="297"/>
    </row>
    <row r="772" spans="1:39" ht="15.5" outlineLevel="1">
      <c r="A772" s="526"/>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1"/>
      <c r="Z772" s="412"/>
      <c r="AA772" s="412"/>
      <c r="AB772" s="412"/>
      <c r="AC772" s="412"/>
      <c r="AD772" s="412"/>
      <c r="AE772" s="412"/>
      <c r="AF772" s="412"/>
      <c r="AG772" s="412"/>
      <c r="AH772" s="412"/>
      <c r="AI772" s="412"/>
      <c r="AJ772" s="412"/>
      <c r="AK772" s="412"/>
      <c r="AL772" s="412"/>
      <c r="AM772" s="302"/>
    </row>
    <row r="773" spans="1:39" ht="15.5" outlineLevel="1">
      <c r="A773" s="526">
        <v>2</v>
      </c>
      <c r="B773" s="425"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09"/>
      <c r="Z773" s="409"/>
      <c r="AA773" s="409"/>
      <c r="AB773" s="409"/>
      <c r="AC773" s="409"/>
      <c r="AD773" s="409"/>
      <c r="AE773" s="409"/>
      <c r="AF773" s="409"/>
      <c r="AG773" s="409"/>
      <c r="AH773" s="409"/>
      <c r="AI773" s="409"/>
      <c r="AJ773" s="409"/>
      <c r="AK773" s="409"/>
      <c r="AL773" s="409"/>
      <c r="AM773" s="296">
        <f>SUM(Y773:AL773)</f>
        <v>0</v>
      </c>
    </row>
    <row r="774" spans="1:39" ht="15.5" outlineLevel="1">
      <c r="A774" s="526"/>
      <c r="B774" s="294" t="s">
        <v>342</v>
      </c>
      <c r="C774" s="291" t="s">
        <v>163</v>
      </c>
      <c r="D774" s="295"/>
      <c r="E774" s="295"/>
      <c r="F774" s="295"/>
      <c r="G774" s="295"/>
      <c r="H774" s="295"/>
      <c r="I774" s="295"/>
      <c r="J774" s="295"/>
      <c r="K774" s="295"/>
      <c r="L774" s="295"/>
      <c r="M774" s="295"/>
      <c r="N774" s="464"/>
      <c r="O774" s="295"/>
      <c r="P774" s="295"/>
      <c r="Q774" s="295"/>
      <c r="R774" s="295"/>
      <c r="S774" s="295"/>
      <c r="T774" s="295"/>
      <c r="U774" s="295"/>
      <c r="V774" s="295"/>
      <c r="W774" s="295"/>
      <c r="X774" s="295"/>
      <c r="Y774" s="410">
        <f>Y773</f>
        <v>0</v>
      </c>
      <c r="Z774" s="410">
        <f t="shared" si="1436" ref="Z774">Z773</f>
        <v>0</v>
      </c>
      <c r="AA774" s="410">
        <f t="shared" si="1437" ref="AA774">AA773</f>
        <v>0</v>
      </c>
      <c r="AB774" s="410">
        <f t="shared" si="1438" ref="AB774">AB773</f>
        <v>0</v>
      </c>
      <c r="AC774" s="410">
        <f t="shared" si="1439" ref="AC774">AC773</f>
        <v>0</v>
      </c>
      <c r="AD774" s="410">
        <f t="shared" si="1440" ref="AD774">AD773</f>
        <v>0</v>
      </c>
      <c r="AE774" s="410">
        <f t="shared" si="1441" ref="AE774">AE773</f>
        <v>0</v>
      </c>
      <c r="AF774" s="410">
        <f t="shared" si="1442" ref="AF774">AF773</f>
        <v>0</v>
      </c>
      <c r="AG774" s="410">
        <f t="shared" si="1443" ref="AG774">AG773</f>
        <v>0</v>
      </c>
      <c r="AH774" s="410">
        <f t="shared" si="1444" ref="AH774">AH773</f>
        <v>0</v>
      </c>
      <c r="AI774" s="410">
        <f t="shared" si="1445" ref="AI774">AI773</f>
        <v>0</v>
      </c>
      <c r="AJ774" s="410">
        <f t="shared" si="1446" ref="AJ774">AJ773</f>
        <v>0</v>
      </c>
      <c r="AK774" s="410">
        <f t="shared" si="1447" ref="AK774">AK773</f>
        <v>0</v>
      </c>
      <c r="AL774" s="410">
        <f t="shared" si="1448" ref="AL774">AL773</f>
        <v>0</v>
      </c>
      <c r="AM774" s="297"/>
    </row>
    <row r="775" spans="1:39" ht="15.5" outlineLevel="1">
      <c r="A775" s="526"/>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1"/>
      <c r="Z775" s="412"/>
      <c r="AA775" s="412"/>
      <c r="AB775" s="412"/>
      <c r="AC775" s="412"/>
      <c r="AD775" s="412"/>
      <c r="AE775" s="412"/>
      <c r="AF775" s="412"/>
      <c r="AG775" s="412"/>
      <c r="AH775" s="412"/>
      <c r="AI775" s="412"/>
      <c r="AJ775" s="412"/>
      <c r="AK775" s="412"/>
      <c r="AL775" s="412"/>
      <c r="AM775" s="302"/>
    </row>
    <row r="776" spans="1:39" ht="15.5" outlineLevel="1">
      <c r="A776" s="526">
        <v>3</v>
      </c>
      <c r="B776" s="425"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09"/>
      <c r="Z776" s="409"/>
      <c r="AA776" s="409"/>
      <c r="AB776" s="409"/>
      <c r="AC776" s="409"/>
      <c r="AD776" s="409"/>
      <c r="AE776" s="409"/>
      <c r="AF776" s="409"/>
      <c r="AG776" s="409"/>
      <c r="AH776" s="409"/>
      <c r="AI776" s="409"/>
      <c r="AJ776" s="409"/>
      <c r="AK776" s="409"/>
      <c r="AL776" s="409"/>
      <c r="AM776" s="296">
        <f>SUM(Y776:AL776)</f>
        <v>0</v>
      </c>
    </row>
    <row r="777" spans="1:39" ht="15.5" outlineLevel="1">
      <c r="A777" s="526"/>
      <c r="B777" s="294" t="s">
        <v>342</v>
      </c>
      <c r="C777" s="291" t="s">
        <v>163</v>
      </c>
      <c r="D777" s="295"/>
      <c r="E777" s="295"/>
      <c r="F777" s="295"/>
      <c r="G777" s="295"/>
      <c r="H777" s="295"/>
      <c r="I777" s="295"/>
      <c r="J777" s="295"/>
      <c r="K777" s="295"/>
      <c r="L777" s="295"/>
      <c r="M777" s="295"/>
      <c r="N777" s="464"/>
      <c r="O777" s="295"/>
      <c r="P777" s="295"/>
      <c r="Q777" s="295"/>
      <c r="R777" s="295"/>
      <c r="S777" s="295"/>
      <c r="T777" s="295"/>
      <c r="U777" s="295"/>
      <c r="V777" s="295"/>
      <c r="W777" s="295"/>
      <c r="X777" s="295"/>
      <c r="Y777" s="410">
        <f>Y776</f>
        <v>0</v>
      </c>
      <c r="Z777" s="410">
        <f t="shared" si="1449" ref="Z777">Z776</f>
        <v>0</v>
      </c>
      <c r="AA777" s="410">
        <f t="shared" si="1450" ref="AA777">AA776</f>
        <v>0</v>
      </c>
      <c r="AB777" s="410">
        <f t="shared" si="1451" ref="AB777">AB776</f>
        <v>0</v>
      </c>
      <c r="AC777" s="410">
        <f t="shared" si="1452" ref="AC777">AC776</f>
        <v>0</v>
      </c>
      <c r="AD777" s="410">
        <f t="shared" si="1453" ref="AD777">AD776</f>
        <v>0</v>
      </c>
      <c r="AE777" s="410">
        <f t="shared" si="1454" ref="AE777">AE776</f>
        <v>0</v>
      </c>
      <c r="AF777" s="410">
        <f t="shared" si="1455" ref="AF777">AF776</f>
        <v>0</v>
      </c>
      <c r="AG777" s="410">
        <f t="shared" si="1456" ref="AG777">AG776</f>
        <v>0</v>
      </c>
      <c r="AH777" s="410">
        <f t="shared" si="1457" ref="AH777">AH776</f>
        <v>0</v>
      </c>
      <c r="AI777" s="410">
        <f t="shared" si="1458" ref="AI777">AI776</f>
        <v>0</v>
      </c>
      <c r="AJ777" s="410">
        <f t="shared" si="1459" ref="AJ777">AJ776</f>
        <v>0</v>
      </c>
      <c r="AK777" s="410">
        <f t="shared" si="1460" ref="AK777">AK776</f>
        <v>0</v>
      </c>
      <c r="AL777" s="410">
        <f t="shared" si="1461" ref="AL777">AL776</f>
        <v>0</v>
      </c>
      <c r="AM777" s="297"/>
    </row>
    <row r="778" spans="1:39" ht="15.5" outlineLevel="1">
      <c r="A778" s="526"/>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1"/>
      <c r="Z778" s="411"/>
      <c r="AA778" s="411"/>
      <c r="AB778" s="411"/>
      <c r="AC778" s="411"/>
      <c r="AD778" s="411"/>
      <c r="AE778" s="411"/>
      <c r="AF778" s="411"/>
      <c r="AG778" s="411"/>
      <c r="AH778" s="411"/>
      <c r="AI778" s="411"/>
      <c r="AJ778" s="411"/>
      <c r="AK778" s="411"/>
      <c r="AL778" s="411"/>
      <c r="AM778" s="306"/>
    </row>
    <row r="779" spans="1:39" ht="15.5" outlineLevel="1">
      <c r="A779" s="526">
        <v>4</v>
      </c>
      <c r="B779" s="514" t="s">
        <v>676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4"/>
      <c r="Z779" s="414"/>
      <c r="AA779" s="414"/>
      <c r="AB779" s="414"/>
      <c r="AC779" s="414"/>
      <c r="AD779" s="414"/>
      <c r="AE779" s="414"/>
      <c r="AF779" s="409"/>
      <c r="AG779" s="409"/>
      <c r="AH779" s="409"/>
      <c r="AI779" s="409"/>
      <c r="AJ779" s="409"/>
      <c r="AK779" s="409"/>
      <c r="AL779" s="409"/>
      <c r="AM779" s="296">
        <f>SUM(Y779:AL779)</f>
        <v>0</v>
      </c>
    </row>
    <row r="780" spans="1:39" ht="15.5" outlineLevel="1">
      <c r="A780" s="526"/>
      <c r="B780" s="294" t="s">
        <v>342</v>
      </c>
      <c r="C780" s="291" t="s">
        <v>163</v>
      </c>
      <c r="D780" s="295"/>
      <c r="E780" s="295"/>
      <c r="F780" s="295"/>
      <c r="G780" s="295"/>
      <c r="H780" s="295"/>
      <c r="I780" s="295"/>
      <c r="J780" s="295"/>
      <c r="K780" s="295"/>
      <c r="L780" s="295"/>
      <c r="M780" s="295"/>
      <c r="N780" s="464"/>
      <c r="O780" s="295"/>
      <c r="P780" s="295"/>
      <c r="Q780" s="295"/>
      <c r="R780" s="295"/>
      <c r="S780" s="295"/>
      <c r="T780" s="295"/>
      <c r="U780" s="295"/>
      <c r="V780" s="295"/>
      <c r="W780" s="295"/>
      <c r="X780" s="295"/>
      <c r="Y780" s="410">
        <f>Y779</f>
        <v>0</v>
      </c>
      <c r="Z780" s="410">
        <f t="shared" si="1462" ref="Z780">Z779</f>
        <v>0</v>
      </c>
      <c r="AA780" s="410">
        <f t="shared" si="1463" ref="AA780">AA779</f>
        <v>0</v>
      </c>
      <c r="AB780" s="410">
        <f t="shared" si="1464" ref="AB780">AB779</f>
        <v>0</v>
      </c>
      <c r="AC780" s="410">
        <f t="shared" si="1465" ref="AC780">AC779</f>
        <v>0</v>
      </c>
      <c r="AD780" s="410">
        <f t="shared" si="1466" ref="AD780">AD779</f>
        <v>0</v>
      </c>
      <c r="AE780" s="410">
        <f t="shared" si="1467" ref="AE780">AE779</f>
        <v>0</v>
      </c>
      <c r="AF780" s="410">
        <f t="shared" si="1468" ref="AF780">AF779</f>
        <v>0</v>
      </c>
      <c r="AG780" s="410">
        <f t="shared" si="1469" ref="AG780">AG779</f>
        <v>0</v>
      </c>
      <c r="AH780" s="410">
        <f t="shared" si="1470" ref="AH780">AH779</f>
        <v>0</v>
      </c>
      <c r="AI780" s="410">
        <f t="shared" si="1471" ref="AI780">AI779</f>
        <v>0</v>
      </c>
      <c r="AJ780" s="410">
        <f t="shared" si="1472" ref="AJ780">AJ779</f>
        <v>0</v>
      </c>
      <c r="AK780" s="410">
        <f t="shared" si="1473" ref="AK780">AK779</f>
        <v>0</v>
      </c>
      <c r="AL780" s="410">
        <f t="shared" si="1474" ref="AL780">AL779</f>
        <v>0</v>
      </c>
      <c r="AM780" s="297"/>
    </row>
    <row r="781" spans="1:39" ht="15.5" outlineLevel="1">
      <c r="A781" s="526"/>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1"/>
      <c r="Z781" s="411"/>
      <c r="AA781" s="411"/>
      <c r="AB781" s="411"/>
      <c r="AC781" s="411"/>
      <c r="AD781" s="411"/>
      <c r="AE781" s="411"/>
      <c r="AF781" s="411"/>
      <c r="AG781" s="411"/>
      <c r="AH781" s="411"/>
      <c r="AI781" s="411"/>
      <c r="AJ781" s="411"/>
      <c r="AK781" s="411"/>
      <c r="AL781" s="411"/>
      <c r="AM781" s="306"/>
    </row>
    <row r="782" spans="1:39" ht="15.75" customHeight="1" outlineLevel="1">
      <c r="A782" s="526">
        <v>5</v>
      </c>
      <c r="B782" s="425"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4"/>
      <c r="Z782" s="414"/>
      <c r="AA782" s="414"/>
      <c r="AB782" s="414"/>
      <c r="AC782" s="414"/>
      <c r="AD782" s="414"/>
      <c r="AE782" s="414"/>
      <c r="AF782" s="409"/>
      <c r="AG782" s="409"/>
      <c r="AH782" s="409"/>
      <c r="AI782" s="409"/>
      <c r="AJ782" s="409"/>
      <c r="AK782" s="409"/>
      <c r="AL782" s="409"/>
      <c r="AM782" s="296">
        <f>SUM(Y782:AL782)</f>
        <v>0</v>
      </c>
    </row>
    <row r="783" spans="1:39" ht="20.25" customHeight="1" outlineLevel="1">
      <c r="A783" s="526"/>
      <c r="B783" s="294" t="s">
        <v>342</v>
      </c>
      <c r="C783" s="291" t="s">
        <v>163</v>
      </c>
      <c r="D783" s="295"/>
      <c r="E783" s="295"/>
      <c r="F783" s="295"/>
      <c r="G783" s="295"/>
      <c r="H783" s="295"/>
      <c r="I783" s="295"/>
      <c r="J783" s="295"/>
      <c r="K783" s="295"/>
      <c r="L783" s="295"/>
      <c r="M783" s="295"/>
      <c r="N783" s="464"/>
      <c r="O783" s="295"/>
      <c r="P783" s="295"/>
      <c r="Q783" s="295"/>
      <c r="R783" s="295"/>
      <c r="S783" s="295"/>
      <c r="T783" s="295"/>
      <c r="U783" s="295"/>
      <c r="V783" s="295"/>
      <c r="W783" s="295"/>
      <c r="X783" s="295"/>
      <c r="Y783" s="410">
        <f>Y782</f>
        <v>0</v>
      </c>
      <c r="Z783" s="410">
        <f t="shared" si="1475" ref="Z783">Z782</f>
        <v>0</v>
      </c>
      <c r="AA783" s="410">
        <f t="shared" si="1476" ref="AA783">AA782</f>
        <v>0</v>
      </c>
      <c r="AB783" s="410">
        <f t="shared" si="1477" ref="AB783">AB782</f>
        <v>0</v>
      </c>
      <c r="AC783" s="410">
        <f t="shared" si="1478" ref="AC783">AC782</f>
        <v>0</v>
      </c>
      <c r="AD783" s="410">
        <f t="shared" si="1479" ref="AD783">AD782</f>
        <v>0</v>
      </c>
      <c r="AE783" s="410">
        <f t="shared" si="1480" ref="AE783">AE782</f>
        <v>0</v>
      </c>
      <c r="AF783" s="410">
        <f t="shared" si="1481" ref="AF783">AF782</f>
        <v>0</v>
      </c>
      <c r="AG783" s="410">
        <f t="shared" si="1482" ref="AG783">AG782</f>
        <v>0</v>
      </c>
      <c r="AH783" s="410">
        <f t="shared" si="1483" ref="AH783">AH782</f>
        <v>0</v>
      </c>
      <c r="AI783" s="410">
        <f t="shared" si="1484" ref="AI783">AI782</f>
        <v>0</v>
      </c>
      <c r="AJ783" s="410">
        <f t="shared" si="1485" ref="AJ783">AJ782</f>
        <v>0</v>
      </c>
      <c r="AK783" s="410">
        <f t="shared" si="1486" ref="AK783">AK782</f>
        <v>0</v>
      </c>
      <c r="AL783" s="410">
        <f t="shared" si="1487" ref="AL783">AL782</f>
        <v>0</v>
      </c>
      <c r="AM783" s="297"/>
    </row>
    <row r="784" spans="1:39" ht="15.5" outlineLevel="1">
      <c r="A784" s="526"/>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19"/>
      <c r="Z784" s="420"/>
      <c r="AA784" s="420"/>
      <c r="AB784" s="420"/>
      <c r="AC784" s="420"/>
      <c r="AD784" s="420"/>
      <c r="AE784" s="420"/>
      <c r="AF784" s="420"/>
      <c r="AG784" s="420"/>
      <c r="AH784" s="420"/>
      <c r="AI784" s="420"/>
      <c r="AJ784" s="420"/>
      <c r="AK784" s="420"/>
      <c r="AL784" s="420"/>
      <c r="AM784" s="297"/>
    </row>
    <row r="785" spans="1:39" ht="15.5" outlineLevel="1">
      <c r="A785" s="526"/>
      <c r="B785" s="318"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3"/>
      <c r="Z785" s="413"/>
      <c r="AA785" s="413"/>
      <c r="AB785" s="413"/>
      <c r="AC785" s="413"/>
      <c r="AD785" s="413"/>
      <c r="AE785" s="413"/>
      <c r="AF785" s="413"/>
      <c r="AG785" s="413"/>
      <c r="AH785" s="413"/>
      <c r="AI785" s="413"/>
      <c r="AJ785" s="413"/>
      <c r="AK785" s="413"/>
      <c r="AL785" s="413"/>
      <c r="AM785" s="292"/>
    </row>
    <row r="786" spans="1:39" ht="15.5" outlineLevel="1">
      <c r="A786" s="526">
        <v>6</v>
      </c>
      <c r="B786" s="425"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4"/>
      <c r="Z786" s="414"/>
      <c r="AA786" s="414"/>
      <c r="AB786" s="414"/>
      <c r="AC786" s="414"/>
      <c r="AD786" s="414"/>
      <c r="AE786" s="414"/>
      <c r="AF786" s="414"/>
      <c r="AG786" s="414"/>
      <c r="AH786" s="414"/>
      <c r="AI786" s="414"/>
      <c r="AJ786" s="414"/>
      <c r="AK786" s="414"/>
      <c r="AL786" s="414"/>
      <c r="AM786" s="296">
        <f>SUM(Y786:AL786)</f>
        <v>0</v>
      </c>
    </row>
    <row r="787" spans="1:39" ht="15.5" outlineLevel="1">
      <c r="A787" s="526"/>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0">
        <f>Y786</f>
        <v>0</v>
      </c>
      <c r="Z787" s="410">
        <f t="shared" si="1488" ref="Z787">Z786</f>
        <v>0</v>
      </c>
      <c r="AA787" s="410">
        <f t="shared" si="1489" ref="AA787">AA786</f>
        <v>0</v>
      </c>
      <c r="AB787" s="410">
        <f t="shared" si="1490" ref="AB787">AB786</f>
        <v>0</v>
      </c>
      <c r="AC787" s="410">
        <f t="shared" si="1491" ref="AC787">AC786</f>
        <v>0</v>
      </c>
      <c r="AD787" s="410">
        <f t="shared" si="1492" ref="AD787">AD786</f>
        <v>0</v>
      </c>
      <c r="AE787" s="410">
        <f t="shared" si="1493" ref="AE787">AE786</f>
        <v>0</v>
      </c>
      <c r="AF787" s="410">
        <f t="shared" si="1494" ref="AF787">AF786</f>
        <v>0</v>
      </c>
      <c r="AG787" s="410">
        <f t="shared" si="1495" ref="AG787">AG786</f>
        <v>0</v>
      </c>
      <c r="AH787" s="410">
        <f t="shared" si="1496" ref="AH787">AH786</f>
        <v>0</v>
      </c>
      <c r="AI787" s="410">
        <f t="shared" si="1497" ref="AI787">AI786</f>
        <v>0</v>
      </c>
      <c r="AJ787" s="410">
        <f t="shared" si="1498" ref="AJ787">AJ786</f>
        <v>0</v>
      </c>
      <c r="AK787" s="410">
        <f t="shared" si="1499" ref="AK787">AK786</f>
        <v>0</v>
      </c>
      <c r="AL787" s="410">
        <f t="shared" si="1500" ref="AL787">AL786</f>
        <v>0</v>
      </c>
      <c r="AM787" s="311"/>
    </row>
    <row r="788" spans="1:39" ht="15.5" outlineLevel="1">
      <c r="A788" s="526"/>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5"/>
      <c r="Z788" s="415"/>
      <c r="AA788" s="415"/>
      <c r="AB788" s="415"/>
      <c r="AC788" s="415"/>
      <c r="AD788" s="415"/>
      <c r="AE788" s="415"/>
      <c r="AF788" s="415"/>
      <c r="AG788" s="415"/>
      <c r="AH788" s="415"/>
      <c r="AI788" s="415"/>
      <c r="AJ788" s="415"/>
      <c r="AK788" s="415"/>
      <c r="AL788" s="415"/>
      <c r="AM788" s="313"/>
    </row>
    <row r="789" spans="1:39" ht="31" outlineLevel="1">
      <c r="A789" s="526">
        <v>7</v>
      </c>
      <c r="B789" s="425"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4"/>
      <c r="Z789" s="414"/>
      <c r="AA789" s="414"/>
      <c r="AB789" s="414"/>
      <c r="AC789" s="414"/>
      <c r="AD789" s="414"/>
      <c r="AE789" s="414"/>
      <c r="AF789" s="414"/>
      <c r="AG789" s="414"/>
      <c r="AH789" s="414"/>
      <c r="AI789" s="414"/>
      <c r="AJ789" s="414"/>
      <c r="AK789" s="414"/>
      <c r="AL789" s="414"/>
      <c r="AM789" s="296">
        <f>SUM(Y789:AL789)</f>
        <v>0</v>
      </c>
    </row>
    <row r="790" spans="1:39" ht="15.5" outlineLevel="1">
      <c r="A790" s="526"/>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0">
        <f>Y789</f>
        <v>0</v>
      </c>
      <c r="Z790" s="410">
        <f t="shared" si="1501" ref="Z790">Z789</f>
        <v>0</v>
      </c>
      <c r="AA790" s="410">
        <f t="shared" si="1502" ref="AA790">AA789</f>
        <v>0</v>
      </c>
      <c r="AB790" s="410">
        <f t="shared" si="1503" ref="AB790">AB789</f>
        <v>0</v>
      </c>
      <c r="AC790" s="410">
        <f t="shared" si="1504" ref="AC790">AC789</f>
        <v>0</v>
      </c>
      <c r="AD790" s="410">
        <f t="shared" si="1505" ref="AD790">AD789</f>
        <v>0</v>
      </c>
      <c r="AE790" s="410">
        <f t="shared" si="1506" ref="AE790">AE789</f>
        <v>0</v>
      </c>
      <c r="AF790" s="410">
        <f t="shared" si="1507" ref="AF790">AF789</f>
        <v>0</v>
      </c>
      <c r="AG790" s="410">
        <f t="shared" si="1508" ref="AG790">AG789</f>
        <v>0</v>
      </c>
      <c r="AH790" s="410">
        <f t="shared" si="1509" ref="AH790">AH789</f>
        <v>0</v>
      </c>
      <c r="AI790" s="410">
        <f t="shared" si="1510" ref="AI790">AI789</f>
        <v>0</v>
      </c>
      <c r="AJ790" s="410">
        <f t="shared" si="1511" ref="AJ790">AJ789</f>
        <v>0</v>
      </c>
      <c r="AK790" s="410">
        <f t="shared" si="1512" ref="AK790">AK789</f>
        <v>0</v>
      </c>
      <c r="AL790" s="410">
        <f t="shared" si="1513" ref="AL790">AL789</f>
        <v>0</v>
      </c>
      <c r="AM790" s="311"/>
    </row>
    <row r="791" spans="1:39" ht="15.5" outlineLevel="1">
      <c r="A791" s="526"/>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5"/>
      <c r="Z791" s="416"/>
      <c r="AA791" s="415"/>
      <c r="AB791" s="415"/>
      <c r="AC791" s="415"/>
      <c r="AD791" s="415"/>
      <c r="AE791" s="415"/>
      <c r="AF791" s="415"/>
      <c r="AG791" s="415"/>
      <c r="AH791" s="415"/>
      <c r="AI791" s="415"/>
      <c r="AJ791" s="415"/>
      <c r="AK791" s="415"/>
      <c r="AL791" s="415"/>
      <c r="AM791" s="313"/>
    </row>
    <row r="792" spans="1:39" ht="31" outlineLevel="1">
      <c r="A792" s="526">
        <v>8</v>
      </c>
      <c r="B792" s="425"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4"/>
      <c r="Z792" s="414"/>
      <c r="AA792" s="414"/>
      <c r="AB792" s="414"/>
      <c r="AC792" s="414"/>
      <c r="AD792" s="414"/>
      <c r="AE792" s="414"/>
      <c r="AF792" s="414"/>
      <c r="AG792" s="414"/>
      <c r="AH792" s="414"/>
      <c r="AI792" s="414"/>
      <c r="AJ792" s="414"/>
      <c r="AK792" s="414"/>
      <c r="AL792" s="414"/>
      <c r="AM792" s="296">
        <f>SUM(Y792:AL792)</f>
        <v>0</v>
      </c>
    </row>
    <row r="793" spans="1:39" ht="15.5" outlineLevel="1">
      <c r="A793" s="526"/>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0">
        <f>Y792</f>
        <v>0</v>
      </c>
      <c r="Z793" s="410">
        <f t="shared" si="1514" ref="Z793">Z792</f>
        <v>0</v>
      </c>
      <c r="AA793" s="410">
        <f t="shared" si="1515" ref="AA793">AA792</f>
        <v>0</v>
      </c>
      <c r="AB793" s="410">
        <f t="shared" si="1516" ref="AB793">AB792</f>
        <v>0</v>
      </c>
      <c r="AC793" s="410">
        <f t="shared" si="1517" ref="AC793">AC792</f>
        <v>0</v>
      </c>
      <c r="AD793" s="410">
        <f t="shared" si="1518" ref="AD793">AD792</f>
        <v>0</v>
      </c>
      <c r="AE793" s="410">
        <f t="shared" si="1519" ref="AE793">AE792</f>
        <v>0</v>
      </c>
      <c r="AF793" s="410">
        <f t="shared" si="1520" ref="AF793">AF792</f>
        <v>0</v>
      </c>
      <c r="AG793" s="410">
        <f t="shared" si="1521" ref="AG793">AG792</f>
        <v>0</v>
      </c>
      <c r="AH793" s="410">
        <f t="shared" si="1522" ref="AH793">AH792</f>
        <v>0</v>
      </c>
      <c r="AI793" s="410">
        <f t="shared" si="1523" ref="AI793">AI792</f>
        <v>0</v>
      </c>
      <c r="AJ793" s="410">
        <f t="shared" si="1524" ref="AJ793">AJ792</f>
        <v>0</v>
      </c>
      <c r="AK793" s="410">
        <f t="shared" si="1525" ref="AK793">AK792</f>
        <v>0</v>
      </c>
      <c r="AL793" s="410">
        <f t="shared" si="1526" ref="AL793">AL792</f>
        <v>0</v>
      </c>
      <c r="AM793" s="311"/>
    </row>
    <row r="794" spans="1:39" ht="15.5" outlineLevel="1">
      <c r="A794" s="526"/>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5"/>
      <c r="Z794" s="416"/>
      <c r="AA794" s="415"/>
      <c r="AB794" s="415"/>
      <c r="AC794" s="415"/>
      <c r="AD794" s="415"/>
      <c r="AE794" s="415"/>
      <c r="AF794" s="415"/>
      <c r="AG794" s="415"/>
      <c r="AH794" s="415"/>
      <c r="AI794" s="415"/>
      <c r="AJ794" s="415"/>
      <c r="AK794" s="415"/>
      <c r="AL794" s="415"/>
      <c r="AM794" s="313"/>
    </row>
    <row r="795" spans="1:39" ht="31" outlineLevel="1">
      <c r="A795" s="526">
        <v>9</v>
      </c>
      <c r="B795" s="425"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4"/>
      <c r="Z795" s="414"/>
      <c r="AA795" s="414"/>
      <c r="AB795" s="414"/>
      <c r="AC795" s="414"/>
      <c r="AD795" s="414"/>
      <c r="AE795" s="414"/>
      <c r="AF795" s="414"/>
      <c r="AG795" s="414"/>
      <c r="AH795" s="414"/>
      <c r="AI795" s="414"/>
      <c r="AJ795" s="414"/>
      <c r="AK795" s="414"/>
      <c r="AL795" s="414"/>
      <c r="AM795" s="296">
        <f>SUM(Y795:AL795)</f>
        <v>0</v>
      </c>
    </row>
    <row r="796" spans="1:39" ht="15.5" outlineLevel="1">
      <c r="A796" s="526"/>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0">
        <f>Y795</f>
        <v>0</v>
      </c>
      <c r="Z796" s="410">
        <f t="shared" si="1527" ref="Z796">Z795</f>
        <v>0</v>
      </c>
      <c r="AA796" s="410">
        <f t="shared" si="1528" ref="AA796">AA795</f>
        <v>0</v>
      </c>
      <c r="AB796" s="410">
        <f t="shared" si="1529" ref="AB796">AB795</f>
        <v>0</v>
      </c>
      <c r="AC796" s="410">
        <f t="shared" si="1530" ref="AC796">AC795</f>
        <v>0</v>
      </c>
      <c r="AD796" s="410">
        <f t="shared" si="1531" ref="AD796">AD795</f>
        <v>0</v>
      </c>
      <c r="AE796" s="410">
        <f t="shared" si="1532" ref="AE796">AE795</f>
        <v>0</v>
      </c>
      <c r="AF796" s="410">
        <f t="shared" si="1533" ref="AF796">AF795</f>
        <v>0</v>
      </c>
      <c r="AG796" s="410">
        <f t="shared" si="1534" ref="AG796">AG795</f>
        <v>0</v>
      </c>
      <c r="AH796" s="410">
        <f t="shared" si="1535" ref="AH796">AH795</f>
        <v>0</v>
      </c>
      <c r="AI796" s="410">
        <f t="shared" si="1536" ref="AI796">AI795</f>
        <v>0</v>
      </c>
      <c r="AJ796" s="410">
        <f t="shared" si="1537" ref="AJ796">AJ795</f>
        <v>0</v>
      </c>
      <c r="AK796" s="410">
        <f t="shared" si="1538" ref="AK796">AK795</f>
        <v>0</v>
      </c>
      <c r="AL796" s="410">
        <f t="shared" si="1539" ref="AL796">AL795</f>
        <v>0</v>
      </c>
      <c r="AM796" s="311"/>
    </row>
    <row r="797" spans="1:39" ht="15.5" outlineLevel="1">
      <c r="A797" s="526"/>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5"/>
      <c r="Z797" s="415"/>
      <c r="AA797" s="415"/>
      <c r="AB797" s="415"/>
      <c r="AC797" s="415"/>
      <c r="AD797" s="415"/>
      <c r="AE797" s="415"/>
      <c r="AF797" s="415"/>
      <c r="AG797" s="415"/>
      <c r="AH797" s="415"/>
      <c r="AI797" s="415"/>
      <c r="AJ797" s="415"/>
      <c r="AK797" s="415"/>
      <c r="AL797" s="415"/>
      <c r="AM797" s="313"/>
    </row>
    <row r="798" spans="1:39" ht="31" outlineLevel="1">
      <c r="A798" s="526">
        <v>10</v>
      </c>
      <c r="B798" s="425"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4"/>
      <c r="Z798" s="414"/>
      <c r="AA798" s="414"/>
      <c r="AB798" s="414"/>
      <c r="AC798" s="414"/>
      <c r="AD798" s="414"/>
      <c r="AE798" s="414"/>
      <c r="AF798" s="414"/>
      <c r="AG798" s="414"/>
      <c r="AH798" s="414"/>
      <c r="AI798" s="414"/>
      <c r="AJ798" s="414"/>
      <c r="AK798" s="414"/>
      <c r="AL798" s="414"/>
      <c r="AM798" s="296">
        <f>SUM(Y798:AL798)</f>
        <v>0</v>
      </c>
    </row>
    <row r="799" spans="1:39" ht="15.5" outlineLevel="1">
      <c r="A799" s="526"/>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0">
        <f>Y798</f>
        <v>0</v>
      </c>
      <c r="Z799" s="410">
        <f t="shared" si="1540" ref="Z799">Z798</f>
        <v>0</v>
      </c>
      <c r="AA799" s="410">
        <f t="shared" si="1541" ref="AA799">AA798</f>
        <v>0</v>
      </c>
      <c r="AB799" s="410">
        <f t="shared" si="1542" ref="AB799">AB798</f>
        <v>0</v>
      </c>
      <c r="AC799" s="410">
        <f t="shared" si="1543" ref="AC799">AC798</f>
        <v>0</v>
      </c>
      <c r="AD799" s="410">
        <f t="shared" si="1544" ref="AD799">AD798</f>
        <v>0</v>
      </c>
      <c r="AE799" s="410">
        <f t="shared" si="1545" ref="AE799">AE798</f>
        <v>0</v>
      </c>
      <c r="AF799" s="410">
        <f t="shared" si="1546" ref="AF799">AF798</f>
        <v>0</v>
      </c>
      <c r="AG799" s="410">
        <f t="shared" si="1547" ref="AG799">AG798</f>
        <v>0</v>
      </c>
      <c r="AH799" s="410">
        <f t="shared" si="1548" ref="AH799">AH798</f>
        <v>0</v>
      </c>
      <c r="AI799" s="410">
        <f t="shared" si="1549" ref="AI799">AI798</f>
        <v>0</v>
      </c>
      <c r="AJ799" s="410">
        <f t="shared" si="1550" ref="AJ799">AJ798</f>
        <v>0</v>
      </c>
      <c r="AK799" s="410">
        <f t="shared" si="1551" ref="AK799">AK798</f>
        <v>0</v>
      </c>
      <c r="AL799" s="410">
        <f t="shared" si="1552" ref="AL799">AL798</f>
        <v>0</v>
      </c>
      <c r="AM799" s="311"/>
    </row>
    <row r="800" spans="1:39" ht="15.5" outlineLevel="1">
      <c r="A800" s="526"/>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5"/>
      <c r="Z800" s="416"/>
      <c r="AA800" s="415"/>
      <c r="AB800" s="415"/>
      <c r="AC800" s="415"/>
      <c r="AD800" s="415"/>
      <c r="AE800" s="415"/>
      <c r="AF800" s="415"/>
      <c r="AG800" s="415"/>
      <c r="AH800" s="415"/>
      <c r="AI800" s="415"/>
      <c r="AJ800" s="415"/>
      <c r="AK800" s="415"/>
      <c r="AL800" s="415"/>
      <c r="AM800" s="313"/>
    </row>
    <row r="801" spans="1:39" ht="15.5" outlineLevel="1">
      <c r="A801" s="526"/>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3"/>
      <c r="Z801" s="413"/>
      <c r="AA801" s="413"/>
      <c r="AB801" s="413"/>
      <c r="AC801" s="413"/>
      <c r="AD801" s="413"/>
      <c r="AE801" s="413"/>
      <c r="AF801" s="413"/>
      <c r="AG801" s="413"/>
      <c r="AH801" s="413"/>
      <c r="AI801" s="413"/>
      <c r="AJ801" s="413"/>
      <c r="AK801" s="413"/>
      <c r="AL801" s="413"/>
      <c r="AM801" s="292"/>
    </row>
    <row r="802" spans="1:39" ht="31" outlineLevel="1">
      <c r="A802" s="526">
        <v>11</v>
      </c>
      <c r="B802" s="425"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3"/>
      <c r="Z802" s="414"/>
      <c r="AA802" s="414"/>
      <c r="AB802" s="414"/>
      <c r="AC802" s="414"/>
      <c r="AD802" s="414"/>
      <c r="AE802" s="414"/>
      <c r="AF802" s="414"/>
      <c r="AG802" s="414"/>
      <c r="AH802" s="414"/>
      <c r="AI802" s="414"/>
      <c r="AJ802" s="414"/>
      <c r="AK802" s="414"/>
      <c r="AL802" s="414"/>
      <c r="AM802" s="296">
        <f>SUM(Y802:AL802)</f>
        <v>0</v>
      </c>
    </row>
    <row r="803" spans="1:39" ht="15.5" outlineLevel="1">
      <c r="A803" s="526"/>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0">
        <f>Y802</f>
        <v>0</v>
      </c>
      <c r="Z803" s="410">
        <f t="shared" si="1553" ref="Z803">Z802</f>
        <v>0</v>
      </c>
      <c r="AA803" s="410">
        <f t="shared" si="1554" ref="AA803">AA802</f>
        <v>0</v>
      </c>
      <c r="AB803" s="410">
        <f t="shared" si="1555" ref="AB803">AB802</f>
        <v>0</v>
      </c>
      <c r="AC803" s="410">
        <f t="shared" si="1556" ref="AC803">AC802</f>
        <v>0</v>
      </c>
      <c r="AD803" s="410">
        <f t="shared" si="1557" ref="AD803">AD802</f>
        <v>0</v>
      </c>
      <c r="AE803" s="410">
        <f t="shared" si="1558" ref="AE803">AE802</f>
        <v>0</v>
      </c>
      <c r="AF803" s="410">
        <f t="shared" si="1559" ref="AF803">AF802</f>
        <v>0</v>
      </c>
      <c r="AG803" s="410">
        <f t="shared" si="1560" ref="AG803">AG802</f>
        <v>0</v>
      </c>
      <c r="AH803" s="410">
        <f t="shared" si="1561" ref="AH803">AH802</f>
        <v>0</v>
      </c>
      <c r="AI803" s="410">
        <f t="shared" si="1562" ref="AI803">AI802</f>
        <v>0</v>
      </c>
      <c r="AJ803" s="410">
        <f t="shared" si="1563" ref="AJ803">AJ802</f>
        <v>0</v>
      </c>
      <c r="AK803" s="410">
        <f t="shared" si="1564" ref="AK803">AK802</f>
        <v>0</v>
      </c>
      <c r="AL803" s="410">
        <f t="shared" si="1565" ref="AL803">AL802</f>
        <v>0</v>
      </c>
      <c r="AM803" s="297"/>
    </row>
    <row r="804" spans="1:39" ht="15.5" outlineLevel="1">
      <c r="A804" s="526"/>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1"/>
      <c r="Z804" s="418"/>
      <c r="AA804" s="418"/>
      <c r="AB804" s="418"/>
      <c r="AC804" s="418"/>
      <c r="AD804" s="418"/>
      <c r="AE804" s="418"/>
      <c r="AF804" s="418"/>
      <c r="AG804" s="418"/>
      <c r="AH804" s="418"/>
      <c r="AI804" s="418"/>
      <c r="AJ804" s="418"/>
      <c r="AK804" s="418"/>
      <c r="AL804" s="418"/>
      <c r="AM804" s="306"/>
    </row>
    <row r="805" spans="1:39" ht="31" outlineLevel="1">
      <c r="A805" s="526">
        <v>12</v>
      </c>
      <c r="B805" s="425"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09"/>
      <c r="Z805" s="414"/>
      <c r="AA805" s="414"/>
      <c r="AB805" s="414"/>
      <c r="AC805" s="414"/>
      <c r="AD805" s="414"/>
      <c r="AE805" s="414"/>
      <c r="AF805" s="414"/>
      <c r="AG805" s="414"/>
      <c r="AH805" s="414"/>
      <c r="AI805" s="414"/>
      <c r="AJ805" s="414"/>
      <c r="AK805" s="414"/>
      <c r="AL805" s="414"/>
      <c r="AM805" s="296">
        <f>SUM(Y805:AL805)</f>
        <v>0</v>
      </c>
    </row>
    <row r="806" spans="1:39" ht="15.5" outlineLevel="1">
      <c r="A806" s="526"/>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0">
        <f>Y805</f>
        <v>0</v>
      </c>
      <c r="Z806" s="410">
        <f t="shared" si="1566" ref="Z806">Z805</f>
        <v>0</v>
      </c>
      <c r="AA806" s="410">
        <f t="shared" si="1567" ref="AA806">AA805</f>
        <v>0</v>
      </c>
      <c r="AB806" s="410">
        <f t="shared" si="1568" ref="AB806">AB805</f>
        <v>0</v>
      </c>
      <c r="AC806" s="410">
        <f t="shared" si="1569" ref="AC806">AC805</f>
        <v>0</v>
      </c>
      <c r="AD806" s="410">
        <f t="shared" si="1570" ref="AD806">AD805</f>
        <v>0</v>
      </c>
      <c r="AE806" s="410">
        <f t="shared" si="1571" ref="AE806">AE805</f>
        <v>0</v>
      </c>
      <c r="AF806" s="410">
        <f t="shared" si="1572" ref="AF806">AF805</f>
        <v>0</v>
      </c>
      <c r="AG806" s="410">
        <f t="shared" si="1573" ref="AG806">AG805</f>
        <v>0</v>
      </c>
      <c r="AH806" s="410">
        <f t="shared" si="1574" ref="AH806">AH805</f>
        <v>0</v>
      </c>
      <c r="AI806" s="410">
        <f t="shared" si="1575" ref="AI806">AI805</f>
        <v>0</v>
      </c>
      <c r="AJ806" s="410">
        <f t="shared" si="1576" ref="AJ806">AJ805</f>
        <v>0</v>
      </c>
      <c r="AK806" s="410">
        <f t="shared" si="1577" ref="AK806">AK805</f>
        <v>0</v>
      </c>
      <c r="AL806" s="410">
        <f t="shared" si="1578" ref="AL806">AL805</f>
        <v>0</v>
      </c>
      <c r="AM806" s="297"/>
    </row>
    <row r="807" spans="1:39" ht="15.5" outlineLevel="1">
      <c r="A807" s="526"/>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9"/>
      <c r="Z807" s="419"/>
      <c r="AA807" s="411"/>
      <c r="AB807" s="411"/>
      <c r="AC807" s="411"/>
      <c r="AD807" s="411"/>
      <c r="AE807" s="411"/>
      <c r="AF807" s="411"/>
      <c r="AG807" s="411"/>
      <c r="AH807" s="411"/>
      <c r="AI807" s="411"/>
      <c r="AJ807" s="411"/>
      <c r="AK807" s="411"/>
      <c r="AL807" s="411"/>
      <c r="AM807" s="306"/>
    </row>
    <row r="808" spans="1:39" ht="31" outlineLevel="1">
      <c r="A808" s="526">
        <v>13</v>
      </c>
      <c r="B808" s="425"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09"/>
      <c r="Z808" s="414"/>
      <c r="AA808" s="414"/>
      <c r="AB808" s="414"/>
      <c r="AC808" s="414"/>
      <c r="AD808" s="414"/>
      <c r="AE808" s="414"/>
      <c r="AF808" s="414"/>
      <c r="AG808" s="414"/>
      <c r="AH808" s="414"/>
      <c r="AI808" s="414"/>
      <c r="AJ808" s="414"/>
      <c r="AK808" s="414"/>
      <c r="AL808" s="414"/>
      <c r="AM808" s="296">
        <f>SUM(Y808:AL808)</f>
        <v>0</v>
      </c>
    </row>
    <row r="809" spans="1:39" ht="15.5" outlineLevel="1">
      <c r="A809" s="526"/>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0">
        <f>Y808</f>
        <v>0</v>
      </c>
      <c r="Z809" s="410">
        <f t="shared" si="1579" ref="Z809">Z808</f>
        <v>0</v>
      </c>
      <c r="AA809" s="410">
        <f t="shared" si="1580" ref="AA809">AA808</f>
        <v>0</v>
      </c>
      <c r="AB809" s="410">
        <f t="shared" si="1581" ref="AB809">AB808</f>
        <v>0</v>
      </c>
      <c r="AC809" s="410">
        <f t="shared" si="1582" ref="AC809">AC808</f>
        <v>0</v>
      </c>
      <c r="AD809" s="410">
        <f t="shared" si="1583" ref="AD809">AD808</f>
        <v>0</v>
      </c>
      <c r="AE809" s="410">
        <f t="shared" si="1584" ref="AE809">AE808</f>
        <v>0</v>
      </c>
      <c r="AF809" s="410">
        <f t="shared" si="1585" ref="AF809">AF808</f>
        <v>0</v>
      </c>
      <c r="AG809" s="410">
        <f t="shared" si="1586" ref="AG809">AG808</f>
        <v>0</v>
      </c>
      <c r="AH809" s="410">
        <f t="shared" si="1587" ref="AH809">AH808</f>
        <v>0</v>
      </c>
      <c r="AI809" s="410">
        <f t="shared" si="1588" ref="AI809">AI808</f>
        <v>0</v>
      </c>
      <c r="AJ809" s="410">
        <f t="shared" si="1589" ref="AJ809">AJ808</f>
        <v>0</v>
      </c>
      <c r="AK809" s="410">
        <f t="shared" si="1590" ref="AK809">AK808</f>
        <v>0</v>
      </c>
      <c r="AL809" s="410">
        <f t="shared" si="1591" ref="AL809">AL808</f>
        <v>0</v>
      </c>
      <c r="AM809" s="306"/>
    </row>
    <row r="810" spans="1:39" ht="15.5" outlineLevel="1">
      <c r="A810" s="526"/>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1"/>
      <c r="Z810" s="411"/>
      <c r="AA810" s="411"/>
      <c r="AB810" s="411"/>
      <c r="AC810" s="411"/>
      <c r="AD810" s="411"/>
      <c r="AE810" s="411"/>
      <c r="AF810" s="411"/>
      <c r="AG810" s="411"/>
      <c r="AH810" s="411"/>
      <c r="AI810" s="411"/>
      <c r="AJ810" s="411"/>
      <c r="AK810" s="411"/>
      <c r="AL810" s="411"/>
      <c r="AM810" s="306"/>
    </row>
    <row r="811" spans="1:39" ht="15.5" outlineLevel="1">
      <c r="A811" s="526"/>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3"/>
      <c r="Z811" s="413"/>
      <c r="AA811" s="413"/>
      <c r="AB811" s="413"/>
      <c r="AC811" s="413"/>
      <c r="AD811" s="413"/>
      <c r="AE811" s="413"/>
      <c r="AF811" s="413"/>
      <c r="AG811" s="413"/>
      <c r="AH811" s="413"/>
      <c r="AI811" s="413"/>
      <c r="AJ811" s="413"/>
      <c r="AK811" s="413"/>
      <c r="AL811" s="413"/>
      <c r="AM811" s="292"/>
    </row>
    <row r="812" spans="1:39" ht="15.5" outlineLevel="1">
      <c r="A812" s="526">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4"/>
      <c r="Z812" s="414"/>
      <c r="AA812" s="414"/>
      <c r="AB812" s="414"/>
      <c r="AC812" s="414"/>
      <c r="AD812" s="414"/>
      <c r="AE812" s="414"/>
      <c r="AF812" s="409"/>
      <c r="AG812" s="409"/>
      <c r="AH812" s="409"/>
      <c r="AI812" s="409"/>
      <c r="AJ812" s="409"/>
      <c r="AK812" s="409"/>
      <c r="AL812" s="409"/>
      <c r="AM812" s="296">
        <f>SUM(Y812:AL812)</f>
        <v>0</v>
      </c>
    </row>
    <row r="813" spans="1:39" ht="15.5" outlineLevel="1">
      <c r="A813" s="526"/>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0">
        <f>Y812</f>
        <v>0</v>
      </c>
      <c r="Z813" s="410">
        <f t="shared" si="1592" ref="Z813">Z812</f>
        <v>0</v>
      </c>
      <c r="AA813" s="410">
        <f t="shared" si="1593" ref="AA813">AA812</f>
        <v>0</v>
      </c>
      <c r="AB813" s="410">
        <f t="shared" si="1594" ref="AB813">AB812</f>
        <v>0</v>
      </c>
      <c r="AC813" s="410">
        <f t="shared" si="1595" ref="AC813">AC812</f>
        <v>0</v>
      </c>
      <c r="AD813" s="410">
        <f t="shared" si="1596" ref="AD813">AD812</f>
        <v>0</v>
      </c>
      <c r="AE813" s="410">
        <f t="shared" si="1597" ref="AE813">AE812</f>
        <v>0</v>
      </c>
      <c r="AF813" s="410">
        <f t="shared" si="1598" ref="AF813">AF812</f>
        <v>0</v>
      </c>
      <c r="AG813" s="410">
        <f t="shared" si="1599" ref="AG813">AG812</f>
        <v>0</v>
      </c>
      <c r="AH813" s="410">
        <f t="shared" si="1600" ref="AH813">AH812</f>
        <v>0</v>
      </c>
      <c r="AI813" s="410">
        <f t="shared" si="1601" ref="AI813">AI812</f>
        <v>0</v>
      </c>
      <c r="AJ813" s="410">
        <f t="shared" si="1602" ref="AJ813">AJ812</f>
        <v>0</v>
      </c>
      <c r="AK813" s="410">
        <f t="shared" si="1603" ref="AK813">AK812</f>
        <v>0</v>
      </c>
      <c r="AL813" s="410">
        <f t="shared" si="1604" ref="AL813">AL812</f>
        <v>0</v>
      </c>
      <c r="AM813" s="297"/>
    </row>
    <row r="814" spans="1:39" ht="15.5" outlineLevel="1">
      <c r="A814" s="526"/>
      <c r="B814" s="315"/>
      <c r="C814" s="305"/>
      <c r="D814" s="291"/>
      <c r="E814" s="291"/>
      <c r="F814" s="291"/>
      <c r="G814" s="291"/>
      <c r="H814" s="291"/>
      <c r="I814" s="291"/>
      <c r="J814" s="291"/>
      <c r="K814" s="291"/>
      <c r="L814" s="291"/>
      <c r="M814" s="291"/>
      <c r="N814" s="464"/>
      <c r="O814" s="291"/>
      <c r="P814" s="291"/>
      <c r="Q814" s="291"/>
      <c r="R814" s="291"/>
      <c r="S814" s="291"/>
      <c r="T814" s="291"/>
      <c r="U814" s="291"/>
      <c r="V814" s="291"/>
      <c r="W814" s="291"/>
      <c r="X814" s="291"/>
      <c r="Y814" s="411"/>
      <c r="Z814" s="411"/>
      <c r="AA814" s="411"/>
      <c r="AB814" s="411"/>
      <c r="AC814" s="411"/>
      <c r="AD814" s="411"/>
      <c r="AE814" s="411"/>
      <c r="AF814" s="411"/>
      <c r="AG814" s="411"/>
      <c r="AH814" s="411"/>
      <c r="AI814" s="411"/>
      <c r="AJ814" s="411"/>
      <c r="AK814" s="411"/>
      <c r="AL814" s="411"/>
      <c r="AM814" s="306"/>
    </row>
    <row r="815" spans="1:39" s="309" customFormat="1" ht="15.5" outlineLevel="1">
      <c r="A815" s="526"/>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1"/>
      <c r="Z815" s="411"/>
      <c r="AA815" s="411"/>
      <c r="AB815" s="411"/>
      <c r="AC815" s="411"/>
      <c r="AD815" s="411"/>
      <c r="AE815" s="415"/>
      <c r="AF815" s="415"/>
      <c r="AG815" s="415"/>
      <c r="AH815" s="415"/>
      <c r="AI815" s="415"/>
      <c r="AJ815" s="415"/>
      <c r="AK815" s="415"/>
      <c r="AL815" s="415"/>
      <c r="AM815" s="511"/>
    </row>
    <row r="816" spans="1:39" ht="15.5" outlineLevel="1">
      <c r="A816" s="526">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4"/>
      <c r="Z816" s="414"/>
      <c r="AA816" s="414"/>
      <c r="AB816" s="414"/>
      <c r="AC816" s="414"/>
      <c r="AD816" s="414"/>
      <c r="AE816" s="414"/>
      <c r="AF816" s="409"/>
      <c r="AG816" s="409"/>
      <c r="AH816" s="409"/>
      <c r="AI816" s="409"/>
      <c r="AJ816" s="409"/>
      <c r="AK816" s="409"/>
      <c r="AL816" s="409"/>
      <c r="AM816" s="296">
        <f>SUM(Y816:AL816)</f>
        <v>0</v>
      </c>
    </row>
    <row r="817" spans="1:39" ht="15.5" outlineLevel="1">
      <c r="A817" s="526"/>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0">
        <f>Y816</f>
        <v>0</v>
      </c>
      <c r="Z817" s="410">
        <f t="shared" si="1605" ref="Z817:AL817">Z816</f>
        <v>0</v>
      </c>
      <c r="AA817" s="410">
        <f t="shared" si="1605"/>
        <v>0</v>
      </c>
      <c r="AB817" s="410">
        <f t="shared" si="1605"/>
        <v>0</v>
      </c>
      <c r="AC817" s="410">
        <f t="shared" si="1605"/>
        <v>0</v>
      </c>
      <c r="AD817" s="410">
        <f t="shared" si="1605"/>
        <v>0</v>
      </c>
      <c r="AE817" s="410">
        <f t="shared" si="1605"/>
        <v>0</v>
      </c>
      <c r="AF817" s="410">
        <f t="shared" si="1605"/>
        <v>0</v>
      </c>
      <c r="AG817" s="410">
        <f t="shared" si="1605"/>
        <v>0</v>
      </c>
      <c r="AH817" s="410">
        <f t="shared" si="1605"/>
        <v>0</v>
      </c>
      <c r="AI817" s="410">
        <f t="shared" si="1605"/>
        <v>0</v>
      </c>
      <c r="AJ817" s="410">
        <f t="shared" si="1605"/>
        <v>0</v>
      </c>
      <c r="AK817" s="410">
        <f t="shared" si="1605"/>
        <v>0</v>
      </c>
      <c r="AL817" s="410">
        <f t="shared" si="1605"/>
        <v>0</v>
      </c>
      <c r="AM817" s="297"/>
    </row>
    <row r="818" spans="1:39" ht="15.5" outlineLevel="1">
      <c r="A818" s="526"/>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1"/>
      <c r="Z818" s="411"/>
      <c r="AA818" s="411"/>
      <c r="AB818" s="411"/>
      <c r="AC818" s="411"/>
      <c r="AD818" s="411"/>
      <c r="AE818" s="411"/>
      <c r="AF818" s="411"/>
      <c r="AG818" s="411"/>
      <c r="AH818" s="411"/>
      <c r="AI818" s="411"/>
      <c r="AJ818" s="411"/>
      <c r="AK818" s="411"/>
      <c r="AL818" s="411"/>
      <c r="AM818" s="306"/>
    </row>
    <row r="819" spans="1:39" s="283" customFormat="1" ht="15.5" outlineLevel="1">
      <c r="A819" s="526">
        <v>16</v>
      </c>
      <c r="B819" s="323"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4"/>
      <c r="Z819" s="414"/>
      <c r="AA819" s="414"/>
      <c r="AB819" s="414"/>
      <c r="AC819" s="414"/>
      <c r="AD819" s="414"/>
      <c r="AE819" s="414"/>
      <c r="AF819" s="409"/>
      <c r="AG819" s="409"/>
      <c r="AH819" s="409"/>
      <c r="AI819" s="409"/>
      <c r="AJ819" s="409"/>
      <c r="AK819" s="409"/>
      <c r="AL819" s="409"/>
      <c r="AM819" s="296">
        <f>SUM(Y819:AL819)</f>
        <v>0</v>
      </c>
    </row>
    <row r="820" spans="1:39" s="283" customFormat="1" ht="15.5" outlineLevel="1">
      <c r="A820" s="526"/>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0">
        <f>Y819</f>
        <v>0</v>
      </c>
      <c r="Z820" s="410">
        <f t="shared" si="1606" ref="Z820:AL820">Z819</f>
        <v>0</v>
      </c>
      <c r="AA820" s="410">
        <f t="shared" si="1606"/>
        <v>0</v>
      </c>
      <c r="AB820" s="410">
        <f t="shared" si="1606"/>
        <v>0</v>
      </c>
      <c r="AC820" s="410">
        <f t="shared" si="1606"/>
        <v>0</v>
      </c>
      <c r="AD820" s="410">
        <f t="shared" si="1606"/>
        <v>0</v>
      </c>
      <c r="AE820" s="410">
        <f t="shared" si="1606"/>
        <v>0</v>
      </c>
      <c r="AF820" s="410">
        <f t="shared" si="1606"/>
        <v>0</v>
      </c>
      <c r="AG820" s="410">
        <f t="shared" si="1606"/>
        <v>0</v>
      </c>
      <c r="AH820" s="410">
        <f t="shared" si="1606"/>
        <v>0</v>
      </c>
      <c r="AI820" s="410">
        <f t="shared" si="1606"/>
        <v>0</v>
      </c>
      <c r="AJ820" s="410">
        <f t="shared" si="1606"/>
        <v>0</v>
      </c>
      <c r="AK820" s="410">
        <f t="shared" si="1606"/>
        <v>0</v>
      </c>
      <c r="AL820" s="410">
        <f t="shared" si="1606"/>
        <v>0</v>
      </c>
      <c r="AM820" s="297"/>
    </row>
    <row r="821" spans="1:39" s="283" customFormat="1" ht="15.5" outlineLevel="1">
      <c r="A821" s="526"/>
      <c r="B821" s="323"/>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1"/>
      <c r="Z821" s="411"/>
      <c r="AA821" s="411"/>
      <c r="AB821" s="411"/>
      <c r="AC821" s="411"/>
      <c r="AD821" s="411"/>
      <c r="AE821" s="415"/>
      <c r="AF821" s="415"/>
      <c r="AG821" s="415"/>
      <c r="AH821" s="415"/>
      <c r="AI821" s="415"/>
      <c r="AJ821" s="415"/>
      <c r="AK821" s="415"/>
      <c r="AL821" s="415"/>
      <c r="AM821" s="313"/>
    </row>
    <row r="822" spans="1:39" ht="15.5" outlineLevel="1">
      <c r="A822" s="526"/>
      <c r="B822" s="513" t="s">
        <v>495</v>
      </c>
      <c r="C822" s="319"/>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3"/>
      <c r="Z822" s="413"/>
      <c r="AA822" s="413"/>
      <c r="AB822" s="413"/>
      <c r="AC822" s="413"/>
      <c r="AD822" s="413"/>
      <c r="AE822" s="413"/>
      <c r="AF822" s="413"/>
      <c r="AG822" s="413"/>
      <c r="AH822" s="413"/>
      <c r="AI822" s="413"/>
      <c r="AJ822" s="413"/>
      <c r="AK822" s="413"/>
      <c r="AL822" s="413"/>
      <c r="AM822" s="292"/>
    </row>
    <row r="823" spans="1:39" ht="15.5" outlineLevel="1">
      <c r="A823" s="526">
        <v>17</v>
      </c>
      <c r="B823" s="425"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3"/>
      <c r="Z823" s="409"/>
      <c r="AA823" s="409"/>
      <c r="AB823" s="409"/>
      <c r="AC823" s="409"/>
      <c r="AD823" s="409"/>
      <c r="AE823" s="409"/>
      <c r="AF823" s="414"/>
      <c r="AG823" s="414"/>
      <c r="AH823" s="414"/>
      <c r="AI823" s="414"/>
      <c r="AJ823" s="414"/>
      <c r="AK823" s="414"/>
      <c r="AL823" s="414"/>
      <c r="AM823" s="296">
        <f>SUM(Y823:AL823)</f>
        <v>0</v>
      </c>
    </row>
    <row r="824" spans="1:39" ht="15.5" outlineLevel="1">
      <c r="A824" s="526"/>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0">
        <f>Y823</f>
        <v>0</v>
      </c>
      <c r="Z824" s="410">
        <f t="shared" si="1607" ref="Z824:AL824">Z823</f>
        <v>0</v>
      </c>
      <c r="AA824" s="410">
        <f t="shared" si="1607"/>
        <v>0</v>
      </c>
      <c r="AB824" s="410">
        <f t="shared" si="1607"/>
        <v>0</v>
      </c>
      <c r="AC824" s="410">
        <f t="shared" si="1607"/>
        <v>0</v>
      </c>
      <c r="AD824" s="410">
        <f t="shared" si="1607"/>
        <v>0</v>
      </c>
      <c r="AE824" s="410">
        <f t="shared" si="1607"/>
        <v>0</v>
      </c>
      <c r="AF824" s="410">
        <f t="shared" si="1607"/>
        <v>0</v>
      </c>
      <c r="AG824" s="410">
        <f t="shared" si="1607"/>
        <v>0</v>
      </c>
      <c r="AH824" s="410">
        <f t="shared" si="1607"/>
        <v>0</v>
      </c>
      <c r="AI824" s="410">
        <f t="shared" si="1607"/>
        <v>0</v>
      </c>
      <c r="AJ824" s="410">
        <f t="shared" si="1607"/>
        <v>0</v>
      </c>
      <c r="AK824" s="410">
        <f t="shared" si="1607"/>
        <v>0</v>
      </c>
      <c r="AL824" s="410">
        <f t="shared" si="1607"/>
        <v>0</v>
      </c>
      <c r="AM824" s="306"/>
    </row>
    <row r="825" spans="1:39" ht="15.5" outlineLevel="1">
      <c r="A825" s="526"/>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19"/>
      <c r="Z825" s="422"/>
      <c r="AA825" s="422"/>
      <c r="AB825" s="422"/>
      <c r="AC825" s="422"/>
      <c r="AD825" s="422"/>
      <c r="AE825" s="422"/>
      <c r="AF825" s="422"/>
      <c r="AG825" s="422"/>
      <c r="AH825" s="422"/>
      <c r="AI825" s="422"/>
      <c r="AJ825" s="422"/>
      <c r="AK825" s="422"/>
      <c r="AL825" s="422"/>
      <c r="AM825" s="306"/>
    </row>
    <row r="826" spans="1:39" ht="15.5" outlineLevel="1">
      <c r="A826" s="526">
        <v>18</v>
      </c>
      <c r="B826" s="425"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3"/>
      <c r="Z826" s="409"/>
      <c r="AA826" s="409"/>
      <c r="AB826" s="409"/>
      <c r="AC826" s="409"/>
      <c r="AD826" s="409"/>
      <c r="AE826" s="409"/>
      <c r="AF826" s="414"/>
      <c r="AG826" s="414"/>
      <c r="AH826" s="414"/>
      <c r="AI826" s="414"/>
      <c r="AJ826" s="414"/>
      <c r="AK826" s="414"/>
      <c r="AL826" s="414"/>
      <c r="AM826" s="296">
        <f>SUM(Y826:AL826)</f>
        <v>0</v>
      </c>
    </row>
    <row r="827" spans="1:39" ht="15.5" outlineLevel="1">
      <c r="A827" s="526"/>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0">
        <f>Y826</f>
        <v>0</v>
      </c>
      <c r="Z827" s="410">
        <f t="shared" si="1608" ref="Z827:AL827">Z826</f>
        <v>0</v>
      </c>
      <c r="AA827" s="410">
        <f t="shared" si="1608"/>
        <v>0</v>
      </c>
      <c r="AB827" s="410">
        <f t="shared" si="1608"/>
        <v>0</v>
      </c>
      <c r="AC827" s="410">
        <f t="shared" si="1608"/>
        <v>0</v>
      </c>
      <c r="AD827" s="410">
        <f t="shared" si="1608"/>
        <v>0</v>
      </c>
      <c r="AE827" s="410">
        <f t="shared" si="1608"/>
        <v>0</v>
      </c>
      <c r="AF827" s="410">
        <f t="shared" si="1608"/>
        <v>0</v>
      </c>
      <c r="AG827" s="410">
        <f t="shared" si="1608"/>
        <v>0</v>
      </c>
      <c r="AH827" s="410">
        <f t="shared" si="1608"/>
        <v>0</v>
      </c>
      <c r="AI827" s="410">
        <f t="shared" si="1608"/>
        <v>0</v>
      </c>
      <c r="AJ827" s="410">
        <f t="shared" si="1608"/>
        <v>0</v>
      </c>
      <c r="AK827" s="410">
        <f t="shared" si="1608"/>
        <v>0</v>
      </c>
      <c r="AL827" s="410">
        <f t="shared" si="1608"/>
        <v>0</v>
      </c>
      <c r="AM827" s="306"/>
    </row>
    <row r="828" spans="1:39" ht="15.5" outlineLevel="1">
      <c r="A828" s="526"/>
      <c r="B828" s="321"/>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0"/>
      <c r="Z828" s="421"/>
      <c r="AA828" s="421"/>
      <c r="AB828" s="421"/>
      <c r="AC828" s="421"/>
      <c r="AD828" s="421"/>
      <c r="AE828" s="421"/>
      <c r="AF828" s="421"/>
      <c r="AG828" s="421"/>
      <c r="AH828" s="421"/>
      <c r="AI828" s="421"/>
      <c r="AJ828" s="421"/>
      <c r="AK828" s="421"/>
      <c r="AL828" s="421"/>
      <c r="AM828" s="297"/>
    </row>
    <row r="829" spans="1:39" ht="15.5" outlineLevel="1">
      <c r="A829" s="526">
        <v>19</v>
      </c>
      <c r="B829" s="425"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3"/>
      <c r="Z829" s="409"/>
      <c r="AA829" s="409"/>
      <c r="AB829" s="409"/>
      <c r="AC829" s="409"/>
      <c r="AD829" s="409"/>
      <c r="AE829" s="409"/>
      <c r="AF829" s="414"/>
      <c r="AG829" s="414"/>
      <c r="AH829" s="414"/>
      <c r="AI829" s="414"/>
      <c r="AJ829" s="414"/>
      <c r="AK829" s="414"/>
      <c r="AL829" s="414"/>
      <c r="AM829" s="296">
        <f>SUM(Y829:AL829)</f>
        <v>0</v>
      </c>
    </row>
    <row r="830" spans="1:39" ht="15.5" outlineLevel="1">
      <c r="A830" s="526"/>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0">
        <f>Y829</f>
        <v>0</v>
      </c>
      <c r="Z830" s="410">
        <f t="shared" si="1609" ref="Z830:AL830">Z829</f>
        <v>0</v>
      </c>
      <c r="AA830" s="410">
        <f t="shared" si="1609"/>
        <v>0</v>
      </c>
      <c r="AB830" s="410">
        <f t="shared" si="1609"/>
        <v>0</v>
      </c>
      <c r="AC830" s="410">
        <f t="shared" si="1609"/>
        <v>0</v>
      </c>
      <c r="AD830" s="410">
        <f t="shared" si="1609"/>
        <v>0</v>
      </c>
      <c r="AE830" s="410">
        <f t="shared" si="1609"/>
        <v>0</v>
      </c>
      <c r="AF830" s="410">
        <f t="shared" si="1609"/>
        <v>0</v>
      </c>
      <c r="AG830" s="410">
        <f t="shared" si="1609"/>
        <v>0</v>
      </c>
      <c r="AH830" s="410">
        <f t="shared" si="1609"/>
        <v>0</v>
      </c>
      <c r="AI830" s="410">
        <f t="shared" si="1609"/>
        <v>0</v>
      </c>
      <c r="AJ830" s="410">
        <f t="shared" si="1609"/>
        <v>0</v>
      </c>
      <c r="AK830" s="410">
        <f t="shared" si="1609"/>
        <v>0</v>
      </c>
      <c r="AL830" s="410">
        <f t="shared" si="1609"/>
        <v>0</v>
      </c>
      <c r="AM830" s="297"/>
    </row>
    <row r="831" spans="1:39" ht="15.5" outlineLevel="1">
      <c r="A831" s="526"/>
      <c r="B831" s="321"/>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1"/>
      <c r="Z831" s="411"/>
      <c r="AA831" s="411"/>
      <c r="AB831" s="411"/>
      <c r="AC831" s="411"/>
      <c r="AD831" s="411"/>
      <c r="AE831" s="411"/>
      <c r="AF831" s="411"/>
      <c r="AG831" s="411"/>
      <c r="AH831" s="411"/>
      <c r="AI831" s="411"/>
      <c r="AJ831" s="411"/>
      <c r="AK831" s="411"/>
      <c r="AL831" s="411"/>
      <c r="AM831" s="306"/>
    </row>
    <row r="832" spans="1:39" ht="15.5" outlineLevel="1">
      <c r="A832" s="526">
        <v>20</v>
      </c>
      <c r="B832" s="425"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3"/>
      <c r="Z832" s="409"/>
      <c r="AA832" s="409"/>
      <c r="AB832" s="409"/>
      <c r="AC832" s="409"/>
      <c r="AD832" s="409"/>
      <c r="AE832" s="409"/>
      <c r="AF832" s="414"/>
      <c r="AG832" s="414"/>
      <c r="AH832" s="414"/>
      <c r="AI832" s="414"/>
      <c r="AJ832" s="414"/>
      <c r="AK832" s="414"/>
      <c r="AL832" s="414"/>
      <c r="AM832" s="296">
        <f>SUM(Y832:AL832)</f>
        <v>0</v>
      </c>
    </row>
    <row r="833" spans="1:39" ht="15.5" outlineLevel="1">
      <c r="A833" s="526"/>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0">
        <f>Y832</f>
        <v>0</v>
      </c>
      <c r="Z833" s="410">
        <f t="shared" si="1610" ref="Z833:AL833">Z832</f>
        <v>0</v>
      </c>
      <c r="AA833" s="410">
        <f t="shared" si="1610"/>
        <v>0</v>
      </c>
      <c r="AB833" s="410">
        <f t="shared" si="1610"/>
        <v>0</v>
      </c>
      <c r="AC833" s="410">
        <f t="shared" si="1610"/>
        <v>0</v>
      </c>
      <c r="AD833" s="410">
        <f t="shared" si="1610"/>
        <v>0</v>
      </c>
      <c r="AE833" s="410">
        <f t="shared" si="1610"/>
        <v>0</v>
      </c>
      <c r="AF833" s="410">
        <f t="shared" si="1610"/>
        <v>0</v>
      </c>
      <c r="AG833" s="410">
        <f t="shared" si="1610"/>
        <v>0</v>
      </c>
      <c r="AH833" s="410">
        <f t="shared" si="1610"/>
        <v>0</v>
      </c>
      <c r="AI833" s="410">
        <f t="shared" si="1610"/>
        <v>0</v>
      </c>
      <c r="AJ833" s="410">
        <f t="shared" si="1610"/>
        <v>0</v>
      </c>
      <c r="AK833" s="410">
        <f t="shared" si="1610"/>
        <v>0</v>
      </c>
      <c r="AL833" s="410">
        <f t="shared" si="1610"/>
        <v>0</v>
      </c>
      <c r="AM833" s="306"/>
    </row>
    <row r="834" spans="1:39" ht="15.5" outlineLevel="1">
      <c r="A834" s="526"/>
      <c r="B834" s="322"/>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1"/>
      <c r="Z834" s="411"/>
      <c r="AA834" s="411"/>
      <c r="AB834" s="411"/>
      <c r="AC834" s="411"/>
      <c r="AD834" s="411"/>
      <c r="AE834" s="411"/>
      <c r="AF834" s="411"/>
      <c r="AG834" s="411"/>
      <c r="AH834" s="411"/>
      <c r="AI834" s="411"/>
      <c r="AJ834" s="411"/>
      <c r="AK834" s="411"/>
      <c r="AL834" s="411"/>
      <c r="AM834" s="306"/>
    </row>
    <row r="835" spans="1:39" ht="15.5" outlineLevel="1">
      <c r="A835" s="526"/>
      <c r="B835" s="512"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19"/>
      <c r="Z835" s="422"/>
      <c r="AA835" s="422"/>
      <c r="AB835" s="422"/>
      <c r="AC835" s="422"/>
      <c r="AD835" s="422"/>
      <c r="AE835" s="422"/>
      <c r="AF835" s="422"/>
      <c r="AG835" s="422"/>
      <c r="AH835" s="422"/>
      <c r="AI835" s="422"/>
      <c r="AJ835" s="422"/>
      <c r="AK835" s="422"/>
      <c r="AL835" s="422"/>
      <c r="AM835" s="306"/>
    </row>
    <row r="836" spans="1:39" ht="15.5" outlineLevel="1">
      <c r="A836" s="526"/>
      <c r="B836" s="498"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19"/>
      <c r="Z836" s="422"/>
      <c r="AA836" s="422"/>
      <c r="AB836" s="422"/>
      <c r="AC836" s="422"/>
      <c r="AD836" s="422"/>
      <c r="AE836" s="422"/>
      <c r="AF836" s="422"/>
      <c r="AG836" s="422"/>
      <c r="AH836" s="422"/>
      <c r="AI836" s="422"/>
      <c r="AJ836" s="422"/>
      <c r="AK836" s="422"/>
      <c r="AL836" s="422"/>
      <c r="AM836" s="306"/>
    </row>
    <row r="837" spans="1:39" ht="15.5" outlineLevel="1">
      <c r="A837" s="526">
        <v>21</v>
      </c>
      <c r="B837" s="425"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4"/>
      <c r="Z837" s="414"/>
      <c r="AA837" s="414"/>
      <c r="AB837" s="414"/>
      <c r="AC837" s="414"/>
      <c r="AD837" s="414"/>
      <c r="AE837" s="414"/>
      <c r="AF837" s="409"/>
      <c r="AG837" s="409"/>
      <c r="AH837" s="409"/>
      <c r="AI837" s="409"/>
      <c r="AJ837" s="409"/>
      <c r="AK837" s="409"/>
      <c r="AL837" s="409"/>
      <c r="AM837" s="296">
        <f>SUM(Y837:AL837)</f>
        <v>0</v>
      </c>
    </row>
    <row r="838" spans="1:39" ht="15.5" outlineLevel="1">
      <c r="A838" s="526"/>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0">
        <f>Y837</f>
        <v>0</v>
      </c>
      <c r="Z838" s="410">
        <f t="shared" si="1611" ref="Z838">Z837</f>
        <v>0</v>
      </c>
      <c r="AA838" s="410">
        <f t="shared" si="1612" ref="AA838">AA837</f>
        <v>0</v>
      </c>
      <c r="AB838" s="410">
        <f t="shared" si="1613" ref="AB838">AB837</f>
        <v>0</v>
      </c>
      <c r="AC838" s="410">
        <f t="shared" si="1614" ref="AC838">AC837</f>
        <v>0</v>
      </c>
      <c r="AD838" s="410">
        <f t="shared" si="1615" ref="AD838">AD837</f>
        <v>0</v>
      </c>
      <c r="AE838" s="410">
        <f t="shared" si="1616" ref="AE838">AE837</f>
        <v>0</v>
      </c>
      <c r="AF838" s="410">
        <f t="shared" si="1617" ref="AF838">AF837</f>
        <v>0</v>
      </c>
      <c r="AG838" s="410">
        <f t="shared" si="1618" ref="AG838">AG837</f>
        <v>0</v>
      </c>
      <c r="AH838" s="410">
        <f t="shared" si="1619" ref="AH838">AH837</f>
        <v>0</v>
      </c>
      <c r="AI838" s="410">
        <f t="shared" si="1620" ref="AI838">AI837</f>
        <v>0</v>
      </c>
      <c r="AJ838" s="410">
        <f t="shared" si="1621" ref="AJ838">AJ837</f>
        <v>0</v>
      </c>
      <c r="AK838" s="410">
        <f t="shared" si="1622" ref="AK838">AK837</f>
        <v>0</v>
      </c>
      <c r="AL838" s="410">
        <f t="shared" si="1623" ref="AL838">AL837</f>
        <v>0</v>
      </c>
      <c r="AM838" s="306"/>
    </row>
    <row r="839" spans="1:39" ht="15.5" outlineLevel="1">
      <c r="A839" s="526"/>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19"/>
      <c r="Z839" s="422"/>
      <c r="AA839" s="422"/>
      <c r="AB839" s="422"/>
      <c r="AC839" s="422"/>
      <c r="AD839" s="422"/>
      <c r="AE839" s="422"/>
      <c r="AF839" s="422"/>
      <c r="AG839" s="422"/>
      <c r="AH839" s="422"/>
      <c r="AI839" s="422"/>
      <c r="AJ839" s="422"/>
      <c r="AK839" s="422"/>
      <c r="AL839" s="422"/>
      <c r="AM839" s="306"/>
    </row>
    <row r="840" spans="1:39" ht="31" outlineLevel="1">
      <c r="A840" s="526">
        <v>22</v>
      </c>
      <c r="B840" s="425"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4"/>
      <c r="Z840" s="414"/>
      <c r="AA840" s="414"/>
      <c r="AB840" s="414"/>
      <c r="AC840" s="414"/>
      <c r="AD840" s="414"/>
      <c r="AE840" s="414"/>
      <c r="AF840" s="409"/>
      <c r="AG840" s="409"/>
      <c r="AH840" s="409"/>
      <c r="AI840" s="409"/>
      <c r="AJ840" s="409"/>
      <c r="AK840" s="409"/>
      <c r="AL840" s="409"/>
      <c r="AM840" s="296">
        <f>SUM(Y840:AL840)</f>
        <v>0</v>
      </c>
    </row>
    <row r="841" spans="1:39" ht="15.5" outlineLevel="1">
      <c r="A841" s="526"/>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0">
        <f>Y840</f>
        <v>0</v>
      </c>
      <c r="Z841" s="410">
        <f t="shared" si="1624" ref="Z841">Z840</f>
        <v>0</v>
      </c>
      <c r="AA841" s="410">
        <f t="shared" si="1625" ref="AA841">AA840</f>
        <v>0</v>
      </c>
      <c r="AB841" s="410">
        <f t="shared" si="1626" ref="AB841">AB840</f>
        <v>0</v>
      </c>
      <c r="AC841" s="410">
        <f t="shared" si="1627" ref="AC841">AC840</f>
        <v>0</v>
      </c>
      <c r="AD841" s="410">
        <f t="shared" si="1628" ref="AD841">AD840</f>
        <v>0</v>
      </c>
      <c r="AE841" s="410">
        <f t="shared" si="1629" ref="AE841">AE840</f>
        <v>0</v>
      </c>
      <c r="AF841" s="410">
        <f t="shared" si="1630" ref="AF841">AF840</f>
        <v>0</v>
      </c>
      <c r="AG841" s="410">
        <f t="shared" si="1631" ref="AG841">AG840</f>
        <v>0</v>
      </c>
      <c r="AH841" s="410">
        <f t="shared" si="1632" ref="AH841">AH840</f>
        <v>0</v>
      </c>
      <c r="AI841" s="410">
        <f t="shared" si="1633" ref="AI841">AI840</f>
        <v>0</v>
      </c>
      <c r="AJ841" s="410">
        <f t="shared" si="1634" ref="AJ841">AJ840</f>
        <v>0</v>
      </c>
      <c r="AK841" s="410">
        <f t="shared" si="1635" ref="AK841">AK840</f>
        <v>0</v>
      </c>
      <c r="AL841" s="410">
        <f t="shared" si="1636" ref="AL841">AL840</f>
        <v>0</v>
      </c>
      <c r="AM841" s="306"/>
    </row>
    <row r="842" spans="1:39" ht="15.5" outlineLevel="1">
      <c r="A842" s="526"/>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9"/>
      <c r="Z842" s="422"/>
      <c r="AA842" s="422"/>
      <c r="AB842" s="422"/>
      <c r="AC842" s="422"/>
      <c r="AD842" s="422"/>
      <c r="AE842" s="422"/>
      <c r="AF842" s="422"/>
      <c r="AG842" s="422"/>
      <c r="AH842" s="422"/>
      <c r="AI842" s="422"/>
      <c r="AJ842" s="422"/>
      <c r="AK842" s="422"/>
      <c r="AL842" s="422"/>
      <c r="AM842" s="306"/>
    </row>
    <row r="843" spans="1:39" ht="31" outlineLevel="1">
      <c r="A843" s="526">
        <v>23</v>
      </c>
      <c r="B843" s="425"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4"/>
      <c r="Z843" s="414"/>
      <c r="AA843" s="414"/>
      <c r="AB843" s="414"/>
      <c r="AC843" s="414"/>
      <c r="AD843" s="414"/>
      <c r="AE843" s="414"/>
      <c r="AF843" s="409"/>
      <c r="AG843" s="409"/>
      <c r="AH843" s="409"/>
      <c r="AI843" s="409"/>
      <c r="AJ843" s="409"/>
      <c r="AK843" s="409"/>
      <c r="AL843" s="409"/>
      <c r="AM843" s="296">
        <f>SUM(Y843:AL843)</f>
        <v>0</v>
      </c>
    </row>
    <row r="844" spans="1:39" ht="15.5" outlineLevel="1">
      <c r="A844" s="526"/>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0">
        <f>Y843</f>
        <v>0</v>
      </c>
      <c r="Z844" s="410">
        <f t="shared" si="1637" ref="Z844">Z843</f>
        <v>0</v>
      </c>
      <c r="AA844" s="410">
        <f t="shared" si="1638" ref="AA844">AA843</f>
        <v>0</v>
      </c>
      <c r="AB844" s="410">
        <f t="shared" si="1639" ref="AB844">AB843</f>
        <v>0</v>
      </c>
      <c r="AC844" s="410">
        <f t="shared" si="1640" ref="AC844">AC843</f>
        <v>0</v>
      </c>
      <c r="AD844" s="410">
        <f t="shared" si="1641" ref="AD844">AD843</f>
        <v>0</v>
      </c>
      <c r="AE844" s="410">
        <f t="shared" si="1642" ref="AE844">AE843</f>
        <v>0</v>
      </c>
      <c r="AF844" s="410">
        <f t="shared" si="1643" ref="AF844">AF843</f>
        <v>0</v>
      </c>
      <c r="AG844" s="410">
        <f t="shared" si="1644" ref="AG844">AG843</f>
        <v>0</v>
      </c>
      <c r="AH844" s="410">
        <f t="shared" si="1645" ref="AH844">AH843</f>
        <v>0</v>
      </c>
      <c r="AI844" s="410">
        <f t="shared" si="1646" ref="AI844">AI843</f>
        <v>0</v>
      </c>
      <c r="AJ844" s="410">
        <f t="shared" si="1647" ref="AJ844">AJ843</f>
        <v>0</v>
      </c>
      <c r="AK844" s="410">
        <f t="shared" si="1648" ref="AK844">AK843</f>
        <v>0</v>
      </c>
      <c r="AL844" s="410">
        <f t="shared" si="1649" ref="AL844">AL843</f>
        <v>0</v>
      </c>
      <c r="AM844" s="306"/>
    </row>
    <row r="845" spans="1:39" ht="15.5" outlineLevel="1">
      <c r="A845" s="526"/>
      <c r="B845" s="427"/>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9"/>
      <c r="Z845" s="422"/>
      <c r="AA845" s="422"/>
      <c r="AB845" s="422"/>
      <c r="AC845" s="422"/>
      <c r="AD845" s="422"/>
      <c r="AE845" s="422"/>
      <c r="AF845" s="422"/>
      <c r="AG845" s="422"/>
      <c r="AH845" s="422"/>
      <c r="AI845" s="422"/>
      <c r="AJ845" s="422"/>
      <c r="AK845" s="422"/>
      <c r="AL845" s="422"/>
      <c r="AM845" s="306"/>
    </row>
    <row r="846" spans="1:39" ht="15.5" outlineLevel="1">
      <c r="A846" s="526">
        <v>24</v>
      </c>
      <c r="B846" s="425"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4"/>
      <c r="Z846" s="414"/>
      <c r="AA846" s="414"/>
      <c r="AB846" s="414"/>
      <c r="AC846" s="414"/>
      <c r="AD846" s="414"/>
      <c r="AE846" s="414"/>
      <c r="AF846" s="409"/>
      <c r="AG846" s="409"/>
      <c r="AH846" s="409"/>
      <c r="AI846" s="409"/>
      <c r="AJ846" s="409"/>
      <c r="AK846" s="409"/>
      <c r="AL846" s="409"/>
      <c r="AM846" s="296">
        <f>SUM(Y846:AL846)</f>
        <v>0</v>
      </c>
    </row>
    <row r="847" spans="1:39" ht="15.5" outlineLevel="1">
      <c r="A847" s="526"/>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0">
        <f>Y846</f>
        <v>0</v>
      </c>
      <c r="Z847" s="410">
        <f t="shared" si="1650" ref="Z847">Z846</f>
        <v>0</v>
      </c>
      <c r="AA847" s="410">
        <f t="shared" si="1651" ref="AA847">AA846</f>
        <v>0</v>
      </c>
      <c r="AB847" s="410">
        <f t="shared" si="1652" ref="AB847">AB846</f>
        <v>0</v>
      </c>
      <c r="AC847" s="410">
        <f t="shared" si="1653" ref="AC847">AC846</f>
        <v>0</v>
      </c>
      <c r="AD847" s="410">
        <f t="shared" si="1654" ref="AD847">AD846</f>
        <v>0</v>
      </c>
      <c r="AE847" s="410">
        <f t="shared" si="1655" ref="AE847">AE846</f>
        <v>0</v>
      </c>
      <c r="AF847" s="410">
        <f t="shared" si="1656" ref="AF847">AF846</f>
        <v>0</v>
      </c>
      <c r="AG847" s="410">
        <f t="shared" si="1657" ref="AG847">AG846</f>
        <v>0</v>
      </c>
      <c r="AH847" s="410">
        <f t="shared" si="1658" ref="AH847">AH846</f>
        <v>0</v>
      </c>
      <c r="AI847" s="410">
        <f t="shared" si="1659" ref="AI847">AI846</f>
        <v>0</v>
      </c>
      <c r="AJ847" s="410">
        <f t="shared" si="1660" ref="AJ847">AJ846</f>
        <v>0</v>
      </c>
      <c r="AK847" s="410">
        <f t="shared" si="1661" ref="AK847">AK846</f>
        <v>0</v>
      </c>
      <c r="AL847" s="410">
        <f t="shared" si="1662" ref="AL847">AL846</f>
        <v>0</v>
      </c>
      <c r="AM847" s="306"/>
    </row>
    <row r="848" spans="1:39" ht="15.5" outlineLevel="1">
      <c r="A848" s="526"/>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1"/>
      <c r="Z848" s="422"/>
      <c r="AA848" s="422"/>
      <c r="AB848" s="422"/>
      <c r="AC848" s="422"/>
      <c r="AD848" s="422"/>
      <c r="AE848" s="422"/>
      <c r="AF848" s="422"/>
      <c r="AG848" s="422"/>
      <c r="AH848" s="422"/>
      <c r="AI848" s="422"/>
      <c r="AJ848" s="422"/>
      <c r="AK848" s="422"/>
      <c r="AL848" s="422"/>
      <c r="AM848" s="306"/>
    </row>
    <row r="849" spans="1:39" ht="15.5" outlineLevel="1">
      <c r="A849" s="526"/>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1"/>
      <c r="Z849" s="422"/>
      <c r="AA849" s="422"/>
      <c r="AB849" s="422"/>
      <c r="AC849" s="422"/>
      <c r="AD849" s="422"/>
      <c r="AE849" s="422"/>
      <c r="AF849" s="422"/>
      <c r="AG849" s="422"/>
      <c r="AH849" s="422"/>
      <c r="AI849" s="422"/>
      <c r="AJ849" s="422"/>
      <c r="AK849" s="422"/>
      <c r="AL849" s="422"/>
      <c r="AM849" s="306"/>
    </row>
    <row r="850" spans="1:39" ht="15.5" outlineLevel="1">
      <c r="A850" s="526">
        <v>25</v>
      </c>
      <c r="B850" s="425"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3"/>
      <c r="Z850" s="414"/>
      <c r="AA850" s="414"/>
      <c r="AB850" s="414"/>
      <c r="AC850" s="414"/>
      <c r="AD850" s="414"/>
      <c r="AE850" s="414"/>
      <c r="AF850" s="414"/>
      <c r="AG850" s="414"/>
      <c r="AH850" s="414"/>
      <c r="AI850" s="414"/>
      <c r="AJ850" s="414"/>
      <c r="AK850" s="414"/>
      <c r="AL850" s="414"/>
      <c r="AM850" s="296">
        <f>SUM(Y850:AL850)</f>
        <v>0</v>
      </c>
    </row>
    <row r="851" spans="1:39" ht="15.5" outlineLevel="1">
      <c r="A851" s="526"/>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0">
        <f>Y850</f>
        <v>0</v>
      </c>
      <c r="Z851" s="410">
        <f t="shared" si="1663" ref="Z851">Z850</f>
        <v>0</v>
      </c>
      <c r="AA851" s="410">
        <f t="shared" si="1664" ref="AA851">AA850</f>
        <v>0</v>
      </c>
      <c r="AB851" s="410">
        <f t="shared" si="1665" ref="AB851">AB850</f>
        <v>0</v>
      </c>
      <c r="AC851" s="410">
        <f t="shared" si="1666" ref="AC851">AC850</f>
        <v>0</v>
      </c>
      <c r="AD851" s="410">
        <f t="shared" si="1667" ref="AD851">AD850</f>
        <v>0</v>
      </c>
      <c r="AE851" s="410">
        <f t="shared" si="1668" ref="AE851">AE850</f>
        <v>0</v>
      </c>
      <c r="AF851" s="410">
        <f t="shared" si="1669" ref="AF851">AF850</f>
        <v>0</v>
      </c>
      <c r="AG851" s="410">
        <f t="shared" si="1670" ref="AG851">AG850</f>
        <v>0</v>
      </c>
      <c r="AH851" s="410">
        <f t="shared" si="1671" ref="AH851">AH850</f>
        <v>0</v>
      </c>
      <c r="AI851" s="410">
        <f t="shared" si="1672" ref="AI851">AI850</f>
        <v>0</v>
      </c>
      <c r="AJ851" s="410">
        <f t="shared" si="1673" ref="AJ851">AJ850</f>
        <v>0</v>
      </c>
      <c r="AK851" s="410">
        <f t="shared" si="1674" ref="AK851">AK850</f>
        <v>0</v>
      </c>
      <c r="AL851" s="410">
        <f t="shared" si="1675" ref="AL851">AL850</f>
        <v>0</v>
      </c>
      <c r="AM851" s="306"/>
    </row>
    <row r="852" spans="1:39" ht="15.5" outlineLevel="1">
      <c r="A852" s="526"/>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1"/>
      <c r="Z852" s="422"/>
      <c r="AA852" s="422"/>
      <c r="AB852" s="422"/>
      <c r="AC852" s="422"/>
      <c r="AD852" s="422"/>
      <c r="AE852" s="422"/>
      <c r="AF852" s="422"/>
      <c r="AG852" s="422"/>
      <c r="AH852" s="422"/>
      <c r="AI852" s="422"/>
      <c r="AJ852" s="422"/>
      <c r="AK852" s="422"/>
      <c r="AL852" s="422"/>
      <c r="AM852" s="306"/>
    </row>
    <row r="853" spans="1:39" ht="15.5" outlineLevel="1">
      <c r="A853" s="526">
        <v>26</v>
      </c>
      <c r="B853" s="425" t="s">
        <v>118</v>
      </c>
      <c r="C853" s="291" t="s">
        <v>25</v>
      </c>
      <c r="D853" s="295">
        <f>'7.  Persistence Report'!AY136</f>
        <v>259037.18082265044</v>
      </c>
      <c r="E853" s="295">
        <f>'7.  Persistence Report'!AZ136</f>
        <v>259037.18082265044</v>
      </c>
      <c r="F853" s="295"/>
      <c r="G853" s="295"/>
      <c r="H853" s="295"/>
      <c r="I853" s="295"/>
      <c r="J853" s="295"/>
      <c r="K853" s="295"/>
      <c r="L853" s="295"/>
      <c r="M853" s="295"/>
      <c r="N853" s="295">
        <v>12</v>
      </c>
      <c r="O853" s="295">
        <f>'7.  Persistence Report'!T136</f>
        <v>32.433628293043313</v>
      </c>
      <c r="P853" s="295">
        <f>'7.  Persistence Report'!U136</f>
        <v>32.492522972731784</v>
      </c>
      <c r="Q853" s="295"/>
      <c r="R853" s="295"/>
      <c r="S853" s="295"/>
      <c r="T853" s="295"/>
      <c r="U853" s="295"/>
      <c r="V853" s="295"/>
      <c r="W853" s="295"/>
      <c r="X853" s="295"/>
      <c r="Y853" s="423"/>
      <c r="Z853" s="783">
        <f>Z673</f>
        <v>0.18432569974554708</v>
      </c>
      <c r="AA853" s="783">
        <f t="shared" si="1676" ref="AA853:AE853">AA673</f>
        <v>0.45659033078880407</v>
      </c>
      <c r="AB853" s="783">
        <f t="shared" si="1676"/>
        <v>0.35908396946564886</v>
      </c>
      <c r="AC853" s="783">
        <f t="shared" si="1676"/>
        <v>0</v>
      </c>
      <c r="AD853" s="783">
        <f t="shared" si="1676"/>
        <v>0</v>
      </c>
      <c r="AE853" s="783">
        <f t="shared" si="1676"/>
        <v>0</v>
      </c>
      <c r="AF853" s="414"/>
      <c r="AG853" s="414"/>
      <c r="AH853" s="414"/>
      <c r="AI853" s="414"/>
      <c r="AJ853" s="414"/>
      <c r="AK853" s="414"/>
      <c r="AL853" s="414"/>
      <c r="AM853" s="296">
        <f>SUM(Y853:AL853)</f>
        <v>1</v>
      </c>
    </row>
    <row r="854" spans="1:39" ht="15.5" outlineLevel="1">
      <c r="A854" s="526"/>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0">
        <f>Y853</f>
        <v>0</v>
      </c>
      <c r="Z854" s="410">
        <f t="shared" si="1677" ref="Z854">Z853</f>
        <v>0.18432569974554708</v>
      </c>
      <c r="AA854" s="410">
        <f t="shared" si="1678" ref="AA854">AA853</f>
        <v>0.45659033078880407</v>
      </c>
      <c r="AB854" s="410">
        <f t="shared" si="1679" ref="AB854">AB853</f>
        <v>0.35908396946564886</v>
      </c>
      <c r="AC854" s="410">
        <f t="shared" si="1680" ref="AC854">AC853</f>
        <v>0</v>
      </c>
      <c r="AD854" s="410">
        <f t="shared" si="1681" ref="AD854">AD853</f>
        <v>0</v>
      </c>
      <c r="AE854" s="410">
        <f t="shared" si="1682" ref="AE854">AE853</f>
        <v>0</v>
      </c>
      <c r="AF854" s="410">
        <f t="shared" si="1683" ref="AF854">AF853</f>
        <v>0</v>
      </c>
      <c r="AG854" s="410">
        <f t="shared" si="1684" ref="AG854">AG853</f>
        <v>0</v>
      </c>
      <c r="AH854" s="410">
        <f t="shared" si="1685" ref="AH854">AH853</f>
        <v>0</v>
      </c>
      <c r="AI854" s="410">
        <f t="shared" si="1686" ref="AI854">AI853</f>
        <v>0</v>
      </c>
      <c r="AJ854" s="410">
        <f t="shared" si="1687" ref="AJ854">AJ853</f>
        <v>0</v>
      </c>
      <c r="AK854" s="410">
        <f t="shared" si="1688" ref="AK854">AK853</f>
        <v>0</v>
      </c>
      <c r="AL854" s="410">
        <f t="shared" si="1689" ref="AL854">AL853</f>
        <v>0</v>
      </c>
      <c r="AM854" s="306"/>
    </row>
    <row r="855" spans="1:39" ht="15.5" outlineLevel="1">
      <c r="A855" s="526"/>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1"/>
      <c r="Z855" s="422"/>
      <c r="AA855" s="422"/>
      <c r="AB855" s="422"/>
      <c r="AC855" s="422"/>
      <c r="AD855" s="422"/>
      <c r="AE855" s="422"/>
      <c r="AF855" s="422"/>
      <c r="AG855" s="422"/>
      <c r="AH855" s="422"/>
      <c r="AI855" s="422"/>
      <c r="AJ855" s="422"/>
      <c r="AK855" s="422"/>
      <c r="AL855" s="422"/>
      <c r="AM855" s="306"/>
    </row>
    <row r="856" spans="1:39" ht="31" outlineLevel="1">
      <c r="A856" s="526">
        <v>27</v>
      </c>
      <c r="B856" s="425" t="s">
        <v>119</v>
      </c>
      <c r="C856" s="291" t="s">
        <v>25</v>
      </c>
      <c r="D856" s="295">
        <f>'7.  Persistence Report'!AY137</f>
        <v>12718.813959487849</v>
      </c>
      <c r="E856" s="295">
        <f>'7.  Persistence Report'!AZ137</f>
        <v>11198.932567219119</v>
      </c>
      <c r="F856" s="295"/>
      <c r="G856" s="295"/>
      <c r="H856" s="295"/>
      <c r="I856" s="295"/>
      <c r="J856" s="295"/>
      <c r="K856" s="295"/>
      <c r="L856" s="295"/>
      <c r="M856" s="295"/>
      <c r="N856" s="295">
        <v>12</v>
      </c>
      <c r="O856" s="295">
        <f>'7.  Persistence Report'!T137</f>
        <v>3.2602299311312084</v>
      </c>
      <c r="P856" s="295">
        <f>'7.  Persistence Report'!U137</f>
        <v>2.8706367801796229</v>
      </c>
      <c r="Q856" s="295"/>
      <c r="R856" s="295"/>
      <c r="S856" s="295"/>
      <c r="T856" s="295"/>
      <c r="U856" s="295"/>
      <c r="V856" s="295"/>
      <c r="W856" s="295"/>
      <c r="X856" s="295"/>
      <c r="Y856" s="423"/>
      <c r="Z856" s="783">
        <f>Z853</f>
        <v>0.18432569974554708</v>
      </c>
      <c r="AA856" s="783">
        <f t="shared" si="1690" ref="AA856:AE856">AA853</f>
        <v>0.45659033078880407</v>
      </c>
      <c r="AB856" s="783">
        <f t="shared" si="1690"/>
        <v>0.35908396946564886</v>
      </c>
      <c r="AC856" s="783">
        <f t="shared" si="1690"/>
        <v>0</v>
      </c>
      <c r="AD856" s="783">
        <f t="shared" si="1690"/>
        <v>0</v>
      </c>
      <c r="AE856" s="783">
        <f t="shared" si="1690"/>
        <v>0</v>
      </c>
      <c r="AF856" s="414"/>
      <c r="AG856" s="414"/>
      <c r="AH856" s="414"/>
      <c r="AI856" s="414"/>
      <c r="AJ856" s="414"/>
      <c r="AK856" s="414"/>
      <c r="AL856" s="414"/>
      <c r="AM856" s="296">
        <f>SUM(Y856:AL856)</f>
        <v>1</v>
      </c>
    </row>
    <row r="857" spans="1:39" ht="15.5" outlineLevel="1">
      <c r="A857" s="526"/>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0">
        <f>Y856</f>
        <v>0</v>
      </c>
      <c r="Z857" s="410">
        <f t="shared" si="1691" ref="Z857">Z856</f>
        <v>0.18432569974554708</v>
      </c>
      <c r="AA857" s="410">
        <f t="shared" si="1692" ref="AA857">AA856</f>
        <v>0.45659033078880407</v>
      </c>
      <c r="AB857" s="410">
        <f t="shared" si="1693" ref="AB857">AB856</f>
        <v>0.35908396946564886</v>
      </c>
      <c r="AC857" s="410">
        <f t="shared" si="1694" ref="AC857">AC856</f>
        <v>0</v>
      </c>
      <c r="AD857" s="410">
        <f t="shared" si="1695" ref="AD857">AD856</f>
        <v>0</v>
      </c>
      <c r="AE857" s="410">
        <f t="shared" si="1696" ref="AE857">AE856</f>
        <v>0</v>
      </c>
      <c r="AF857" s="410">
        <f t="shared" si="1697" ref="AF857">AF856</f>
        <v>0</v>
      </c>
      <c r="AG857" s="410">
        <f t="shared" si="1698" ref="AG857">AG856</f>
        <v>0</v>
      </c>
      <c r="AH857" s="410">
        <f t="shared" si="1699" ref="AH857">AH856</f>
        <v>0</v>
      </c>
      <c r="AI857" s="410">
        <f t="shared" si="1700" ref="AI857">AI856</f>
        <v>0</v>
      </c>
      <c r="AJ857" s="410">
        <f t="shared" si="1701" ref="AJ857">AJ856</f>
        <v>0</v>
      </c>
      <c r="AK857" s="410">
        <f t="shared" si="1702" ref="AK857">AK856</f>
        <v>0</v>
      </c>
      <c r="AL857" s="410">
        <f t="shared" si="1703" ref="AL857">AL856</f>
        <v>0</v>
      </c>
      <c r="AM857" s="306"/>
    </row>
    <row r="858" spans="1:39" ht="15.5" outlineLevel="1">
      <c r="A858" s="526"/>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1"/>
      <c r="Z858" s="422"/>
      <c r="AA858" s="422"/>
      <c r="AB858" s="422"/>
      <c r="AC858" s="422"/>
      <c r="AD858" s="422"/>
      <c r="AE858" s="422"/>
      <c r="AF858" s="422"/>
      <c r="AG858" s="422"/>
      <c r="AH858" s="422"/>
      <c r="AI858" s="422"/>
      <c r="AJ858" s="422"/>
      <c r="AK858" s="422"/>
      <c r="AL858" s="422"/>
      <c r="AM858" s="306"/>
    </row>
    <row r="859" spans="1:39" ht="31" outlineLevel="1">
      <c r="A859" s="526">
        <v>28</v>
      </c>
      <c r="B859" s="425"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3"/>
      <c r="Z859" s="414"/>
      <c r="AA859" s="414"/>
      <c r="AB859" s="414"/>
      <c r="AC859" s="414"/>
      <c r="AD859" s="414"/>
      <c r="AE859" s="414"/>
      <c r="AF859" s="414"/>
      <c r="AG859" s="414"/>
      <c r="AH859" s="414"/>
      <c r="AI859" s="414"/>
      <c r="AJ859" s="414"/>
      <c r="AK859" s="414"/>
      <c r="AL859" s="414"/>
      <c r="AM859" s="296">
        <f>SUM(Y859:AL859)</f>
        <v>0</v>
      </c>
    </row>
    <row r="860" spans="1:39" ht="15.5" outlineLevel="1">
      <c r="A860" s="526"/>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0">
        <f>Y859</f>
        <v>0</v>
      </c>
      <c r="Z860" s="410">
        <f t="shared" si="1704" ref="Z860">Z859</f>
        <v>0</v>
      </c>
      <c r="AA860" s="410">
        <f t="shared" si="1705" ref="AA860">AA859</f>
        <v>0</v>
      </c>
      <c r="AB860" s="410">
        <f t="shared" si="1706" ref="AB860">AB859</f>
        <v>0</v>
      </c>
      <c r="AC860" s="410">
        <f t="shared" si="1707" ref="AC860">AC859</f>
        <v>0</v>
      </c>
      <c r="AD860" s="410">
        <f t="shared" si="1708" ref="AD860">AD859</f>
        <v>0</v>
      </c>
      <c r="AE860" s="410">
        <f t="shared" si="1709" ref="AE860">AE859</f>
        <v>0</v>
      </c>
      <c r="AF860" s="410">
        <f t="shared" si="1710" ref="AF860">AF859</f>
        <v>0</v>
      </c>
      <c r="AG860" s="410">
        <f t="shared" si="1711" ref="AG860">AG859</f>
        <v>0</v>
      </c>
      <c r="AH860" s="410">
        <f t="shared" si="1712" ref="AH860">AH859</f>
        <v>0</v>
      </c>
      <c r="AI860" s="410">
        <f t="shared" si="1713" ref="AI860">AI859</f>
        <v>0</v>
      </c>
      <c r="AJ860" s="410">
        <f t="shared" si="1714" ref="AJ860">AJ859</f>
        <v>0</v>
      </c>
      <c r="AK860" s="410">
        <f t="shared" si="1715" ref="AK860">AK859</f>
        <v>0</v>
      </c>
      <c r="AL860" s="410">
        <f t="shared" si="1716" ref="AL860">AL859</f>
        <v>0</v>
      </c>
      <c r="AM860" s="306"/>
    </row>
    <row r="861" spans="1:39" ht="15.5" outlineLevel="1">
      <c r="A861" s="526"/>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1"/>
      <c r="Z861" s="422"/>
      <c r="AA861" s="422"/>
      <c r="AB861" s="422"/>
      <c r="AC861" s="422"/>
      <c r="AD861" s="422"/>
      <c r="AE861" s="422"/>
      <c r="AF861" s="422"/>
      <c r="AG861" s="422"/>
      <c r="AH861" s="422"/>
      <c r="AI861" s="422"/>
      <c r="AJ861" s="422"/>
      <c r="AK861" s="422"/>
      <c r="AL861" s="422"/>
      <c r="AM861" s="306"/>
    </row>
    <row r="862" spans="1:39" ht="31" outlineLevel="1">
      <c r="A862" s="526">
        <v>29</v>
      </c>
      <c r="B862" s="425"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3"/>
      <c r="Z862" s="414"/>
      <c r="AA862" s="414"/>
      <c r="AB862" s="414"/>
      <c r="AC862" s="414"/>
      <c r="AD862" s="414"/>
      <c r="AE862" s="414"/>
      <c r="AF862" s="414"/>
      <c r="AG862" s="414"/>
      <c r="AH862" s="414"/>
      <c r="AI862" s="414"/>
      <c r="AJ862" s="414"/>
      <c r="AK862" s="414"/>
      <c r="AL862" s="414"/>
      <c r="AM862" s="296">
        <f>SUM(Y862:AL862)</f>
        <v>0</v>
      </c>
    </row>
    <row r="863" spans="1:39" ht="15.5" outlineLevel="1">
      <c r="A863" s="526"/>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0">
        <f>Y862</f>
        <v>0</v>
      </c>
      <c r="Z863" s="410">
        <f t="shared" si="1717" ref="Z863">Z862</f>
        <v>0</v>
      </c>
      <c r="AA863" s="410">
        <f t="shared" si="1718" ref="AA863">AA862</f>
        <v>0</v>
      </c>
      <c r="AB863" s="410">
        <f t="shared" si="1719" ref="AB863">AB862</f>
        <v>0</v>
      </c>
      <c r="AC863" s="410">
        <f t="shared" si="1720" ref="AC863">AC862</f>
        <v>0</v>
      </c>
      <c r="AD863" s="410">
        <f t="shared" si="1721" ref="AD863">AD862</f>
        <v>0</v>
      </c>
      <c r="AE863" s="410">
        <f t="shared" si="1722" ref="AE863">AE862</f>
        <v>0</v>
      </c>
      <c r="AF863" s="410">
        <f t="shared" si="1723" ref="AF863">AF862</f>
        <v>0</v>
      </c>
      <c r="AG863" s="410">
        <f t="shared" si="1724" ref="AG863">AG862</f>
        <v>0</v>
      </c>
      <c r="AH863" s="410">
        <f t="shared" si="1725" ref="AH863">AH862</f>
        <v>0</v>
      </c>
      <c r="AI863" s="410">
        <f t="shared" si="1726" ref="AI863">AI862</f>
        <v>0</v>
      </c>
      <c r="AJ863" s="410">
        <f t="shared" si="1727" ref="AJ863">AJ862</f>
        <v>0</v>
      </c>
      <c r="AK863" s="410">
        <f t="shared" si="1728" ref="AK863">AK862</f>
        <v>0</v>
      </c>
      <c r="AL863" s="410">
        <f t="shared" si="1729" ref="AL863">AL862</f>
        <v>0</v>
      </c>
      <c r="AM863" s="306"/>
    </row>
    <row r="864" spans="1:39" ht="15.5" outlineLevel="1">
      <c r="A864" s="526"/>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1"/>
      <c r="Z864" s="422"/>
      <c r="AA864" s="422"/>
      <c r="AB864" s="422"/>
      <c r="AC864" s="422"/>
      <c r="AD864" s="422"/>
      <c r="AE864" s="422"/>
      <c r="AF864" s="422"/>
      <c r="AG864" s="422"/>
      <c r="AH864" s="422"/>
      <c r="AI864" s="422"/>
      <c r="AJ864" s="422"/>
      <c r="AK864" s="422"/>
      <c r="AL864" s="422"/>
      <c r="AM864" s="306"/>
    </row>
    <row r="865" spans="1:39" ht="31" outlineLevel="1">
      <c r="A865" s="526">
        <v>30</v>
      </c>
      <c r="B865" s="425"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3"/>
      <c r="Z865" s="414"/>
      <c r="AA865" s="414"/>
      <c r="AB865" s="414"/>
      <c r="AC865" s="414"/>
      <c r="AD865" s="414"/>
      <c r="AE865" s="414"/>
      <c r="AF865" s="414"/>
      <c r="AG865" s="414"/>
      <c r="AH865" s="414"/>
      <c r="AI865" s="414"/>
      <c r="AJ865" s="414"/>
      <c r="AK865" s="414"/>
      <c r="AL865" s="414"/>
      <c r="AM865" s="296">
        <f>SUM(Y865:AL865)</f>
        <v>0</v>
      </c>
    </row>
    <row r="866" spans="1:39" ht="15.5" outlineLevel="1">
      <c r="A866" s="526"/>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0">
        <f>Y865</f>
        <v>0</v>
      </c>
      <c r="Z866" s="410">
        <f t="shared" si="1730" ref="Z866">Z865</f>
        <v>0</v>
      </c>
      <c r="AA866" s="410">
        <f t="shared" si="1731" ref="AA866">AA865</f>
        <v>0</v>
      </c>
      <c r="AB866" s="410">
        <f t="shared" si="1732" ref="AB866">AB865</f>
        <v>0</v>
      </c>
      <c r="AC866" s="410">
        <f t="shared" si="1733" ref="AC866">AC865</f>
        <v>0</v>
      </c>
      <c r="AD866" s="410">
        <f t="shared" si="1734" ref="AD866">AD865</f>
        <v>0</v>
      </c>
      <c r="AE866" s="410">
        <f t="shared" si="1735" ref="AE866">AE865</f>
        <v>0</v>
      </c>
      <c r="AF866" s="410">
        <f t="shared" si="1736" ref="AF866">AF865</f>
        <v>0</v>
      </c>
      <c r="AG866" s="410">
        <f t="shared" si="1737" ref="AG866">AG865</f>
        <v>0</v>
      </c>
      <c r="AH866" s="410">
        <f t="shared" si="1738" ref="AH866">AH865</f>
        <v>0</v>
      </c>
      <c r="AI866" s="410">
        <f t="shared" si="1739" ref="AI866">AI865</f>
        <v>0</v>
      </c>
      <c r="AJ866" s="410">
        <f t="shared" si="1740" ref="AJ866">AJ865</f>
        <v>0</v>
      </c>
      <c r="AK866" s="410">
        <f t="shared" si="1741" ref="AK866">AK865</f>
        <v>0</v>
      </c>
      <c r="AL866" s="410">
        <f t="shared" si="1742" ref="AL866">AL865</f>
        <v>0</v>
      </c>
      <c r="AM866" s="306"/>
    </row>
    <row r="867" spans="1:39" ht="15.5" outlineLevel="1">
      <c r="A867" s="526"/>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1"/>
      <c r="Z867" s="422"/>
      <c r="AA867" s="422"/>
      <c r="AB867" s="422"/>
      <c r="AC867" s="422"/>
      <c r="AD867" s="422"/>
      <c r="AE867" s="422"/>
      <c r="AF867" s="422"/>
      <c r="AG867" s="422"/>
      <c r="AH867" s="422"/>
      <c r="AI867" s="422"/>
      <c r="AJ867" s="422"/>
      <c r="AK867" s="422"/>
      <c r="AL867" s="422"/>
      <c r="AM867" s="306"/>
    </row>
    <row r="868" spans="1:39" ht="31" outlineLevel="1">
      <c r="A868" s="526">
        <v>31</v>
      </c>
      <c r="B868" s="425"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3"/>
      <c r="Z868" s="414"/>
      <c r="AA868" s="414"/>
      <c r="AB868" s="414"/>
      <c r="AC868" s="414"/>
      <c r="AD868" s="414"/>
      <c r="AE868" s="414"/>
      <c r="AF868" s="414"/>
      <c r="AG868" s="414"/>
      <c r="AH868" s="414"/>
      <c r="AI868" s="414"/>
      <c r="AJ868" s="414"/>
      <c r="AK868" s="414"/>
      <c r="AL868" s="414"/>
      <c r="AM868" s="296">
        <f>SUM(Y868:AL868)</f>
        <v>0</v>
      </c>
    </row>
    <row r="869" spans="1:39" ht="15.5" outlineLevel="1">
      <c r="A869" s="526"/>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0">
        <f>Y868</f>
        <v>0</v>
      </c>
      <c r="Z869" s="410">
        <f t="shared" si="1743" ref="Z869">Z868</f>
        <v>0</v>
      </c>
      <c r="AA869" s="410">
        <f t="shared" si="1744" ref="AA869">AA868</f>
        <v>0</v>
      </c>
      <c r="AB869" s="410">
        <f t="shared" si="1745" ref="AB869">AB868</f>
        <v>0</v>
      </c>
      <c r="AC869" s="410">
        <f t="shared" si="1746" ref="AC869">AC868</f>
        <v>0</v>
      </c>
      <c r="AD869" s="410">
        <f t="shared" si="1747" ref="AD869">AD868</f>
        <v>0</v>
      </c>
      <c r="AE869" s="410">
        <f t="shared" si="1748" ref="AE869">AE868</f>
        <v>0</v>
      </c>
      <c r="AF869" s="410">
        <f t="shared" si="1749" ref="AF869">AF868</f>
        <v>0</v>
      </c>
      <c r="AG869" s="410">
        <f t="shared" si="1750" ref="AG869">AG868</f>
        <v>0</v>
      </c>
      <c r="AH869" s="410">
        <f t="shared" si="1751" ref="AH869">AH868</f>
        <v>0</v>
      </c>
      <c r="AI869" s="410">
        <f t="shared" si="1752" ref="AI869">AI868</f>
        <v>0</v>
      </c>
      <c r="AJ869" s="410">
        <f t="shared" si="1753" ref="AJ869">AJ868</f>
        <v>0</v>
      </c>
      <c r="AK869" s="410">
        <f t="shared" si="1754" ref="AK869">AK868</f>
        <v>0</v>
      </c>
      <c r="AL869" s="410">
        <f t="shared" si="1755" ref="AL869">AL868</f>
        <v>0</v>
      </c>
      <c r="AM869" s="306"/>
    </row>
    <row r="870" spans="1:39" ht="15.5" outlineLevel="1">
      <c r="A870" s="526"/>
      <c r="B870" s="425"/>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1"/>
      <c r="Z870" s="422"/>
      <c r="AA870" s="422"/>
      <c r="AB870" s="422"/>
      <c r="AC870" s="422"/>
      <c r="AD870" s="422"/>
      <c r="AE870" s="422"/>
      <c r="AF870" s="422"/>
      <c r="AG870" s="422"/>
      <c r="AH870" s="422"/>
      <c r="AI870" s="422"/>
      <c r="AJ870" s="422"/>
      <c r="AK870" s="422"/>
      <c r="AL870" s="422"/>
      <c r="AM870" s="306"/>
    </row>
    <row r="871" spans="1:39" ht="15.5" outlineLevel="1">
      <c r="A871" s="526">
        <v>32</v>
      </c>
      <c r="B871" s="425"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3"/>
      <c r="Z871" s="414"/>
      <c r="AA871" s="414"/>
      <c r="AB871" s="414"/>
      <c r="AC871" s="414"/>
      <c r="AD871" s="414"/>
      <c r="AE871" s="414"/>
      <c r="AF871" s="414"/>
      <c r="AG871" s="414"/>
      <c r="AH871" s="414"/>
      <c r="AI871" s="414"/>
      <c r="AJ871" s="414"/>
      <c r="AK871" s="414"/>
      <c r="AL871" s="414"/>
      <c r="AM871" s="296">
        <f>SUM(Y871:AL871)</f>
        <v>0</v>
      </c>
    </row>
    <row r="872" spans="1:39" ht="15.5" outlineLevel="1">
      <c r="A872" s="526"/>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0">
        <f>Y871</f>
        <v>0</v>
      </c>
      <c r="Z872" s="410">
        <f t="shared" si="1756" ref="Z872">Z871</f>
        <v>0</v>
      </c>
      <c r="AA872" s="410">
        <f t="shared" si="1757" ref="AA872">AA871</f>
        <v>0</v>
      </c>
      <c r="AB872" s="410">
        <f t="shared" si="1758" ref="AB872">AB871</f>
        <v>0</v>
      </c>
      <c r="AC872" s="410">
        <f t="shared" si="1759" ref="AC872">AC871</f>
        <v>0</v>
      </c>
      <c r="AD872" s="410">
        <f t="shared" si="1760" ref="AD872">AD871</f>
        <v>0</v>
      </c>
      <c r="AE872" s="410">
        <f t="shared" si="1761" ref="AE872">AE871</f>
        <v>0</v>
      </c>
      <c r="AF872" s="410">
        <f t="shared" si="1762" ref="AF872">AF871</f>
        <v>0</v>
      </c>
      <c r="AG872" s="410">
        <f t="shared" si="1763" ref="AG872">AG871</f>
        <v>0</v>
      </c>
      <c r="AH872" s="410">
        <f t="shared" si="1764" ref="AH872">AH871</f>
        <v>0</v>
      </c>
      <c r="AI872" s="410">
        <f t="shared" si="1765" ref="AI872">AI871</f>
        <v>0</v>
      </c>
      <c r="AJ872" s="410">
        <f t="shared" si="1766" ref="AJ872">AJ871</f>
        <v>0</v>
      </c>
      <c r="AK872" s="410">
        <f t="shared" si="1767" ref="AK872">AK871</f>
        <v>0</v>
      </c>
      <c r="AL872" s="410">
        <f>AL871</f>
        <v>0</v>
      </c>
      <c r="AM872" s="306"/>
    </row>
    <row r="873" spans="1:39" ht="15.5" outlineLevel="1">
      <c r="A873" s="526"/>
      <c r="B873" s="425"/>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1"/>
      <c r="Z873" s="422"/>
      <c r="AA873" s="422"/>
      <c r="AB873" s="422"/>
      <c r="AC873" s="422"/>
      <c r="AD873" s="422"/>
      <c r="AE873" s="422"/>
      <c r="AF873" s="422"/>
      <c r="AG873" s="422"/>
      <c r="AH873" s="422"/>
      <c r="AI873" s="422"/>
      <c r="AJ873" s="422"/>
      <c r="AK873" s="422"/>
      <c r="AL873" s="422"/>
      <c r="AM873" s="306"/>
    </row>
    <row r="874" spans="1:39" ht="15.5" outlineLevel="1">
      <c r="A874" s="526"/>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1"/>
      <c r="Z874" s="422"/>
      <c r="AA874" s="422"/>
      <c r="AB874" s="422"/>
      <c r="AC874" s="422"/>
      <c r="AD874" s="422"/>
      <c r="AE874" s="422"/>
      <c r="AF874" s="422"/>
      <c r="AG874" s="422"/>
      <c r="AH874" s="422"/>
      <c r="AI874" s="422"/>
      <c r="AJ874" s="422"/>
      <c r="AK874" s="422"/>
      <c r="AL874" s="422"/>
      <c r="AM874" s="306"/>
    </row>
    <row r="875" spans="1:39" ht="15.5" outlineLevel="1">
      <c r="A875" s="526">
        <v>33</v>
      </c>
      <c r="B875" s="425" t="s">
        <v>125</v>
      </c>
      <c r="C875" s="291" t="s">
        <v>25</v>
      </c>
      <c r="D875" s="295">
        <f>'7.  Persistence Report'!AY138</f>
        <v>23162.379999999983</v>
      </c>
      <c r="E875" s="295">
        <f>'7.  Persistence Report'!AZ138</f>
        <v>23162.379999999983</v>
      </c>
      <c r="F875" s="295"/>
      <c r="G875" s="295"/>
      <c r="H875" s="295"/>
      <c r="I875" s="295"/>
      <c r="J875" s="295"/>
      <c r="K875" s="295"/>
      <c r="L875" s="295"/>
      <c r="M875" s="295"/>
      <c r="N875" s="295">
        <v>0</v>
      </c>
      <c r="O875" s="295">
        <f>'7.  Persistence Report'!T138</f>
        <v>3.1259895852128605</v>
      </c>
      <c r="P875" s="295">
        <f>'7.  Persistence Report'!U138</f>
        <v>3.1259895852128605</v>
      </c>
      <c r="Q875" s="295"/>
      <c r="R875" s="295"/>
      <c r="S875" s="295"/>
      <c r="T875" s="295"/>
      <c r="U875" s="295"/>
      <c r="V875" s="295"/>
      <c r="W875" s="295"/>
      <c r="X875" s="295"/>
      <c r="Y875" s="423"/>
      <c r="Z875" s="783">
        <f>Z853</f>
        <v>0.18432569974554708</v>
      </c>
      <c r="AA875" s="783">
        <f t="shared" si="1768" ref="AA875:AE875">AA853</f>
        <v>0.45659033078880407</v>
      </c>
      <c r="AB875" s="783">
        <f t="shared" si="1768"/>
        <v>0.35908396946564886</v>
      </c>
      <c r="AC875" s="783">
        <f t="shared" si="1768"/>
        <v>0</v>
      </c>
      <c r="AD875" s="783">
        <f t="shared" si="1768"/>
        <v>0</v>
      </c>
      <c r="AE875" s="783">
        <f t="shared" si="1768"/>
        <v>0</v>
      </c>
      <c r="AF875" s="414"/>
      <c r="AG875" s="414"/>
      <c r="AH875" s="414"/>
      <c r="AI875" s="414"/>
      <c r="AJ875" s="414"/>
      <c r="AK875" s="414"/>
      <c r="AL875" s="414"/>
      <c r="AM875" s="296">
        <f>SUM(Y875:AL875)</f>
        <v>1</v>
      </c>
    </row>
    <row r="876" spans="1:39" ht="15.5" outlineLevel="1">
      <c r="A876" s="526"/>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0">
        <f>Y875</f>
        <v>0</v>
      </c>
      <c r="Z876" s="410">
        <f t="shared" si="1769" ref="Z876">Z875</f>
        <v>0.18432569974554708</v>
      </c>
      <c r="AA876" s="410">
        <f t="shared" si="1770" ref="AA876">AA875</f>
        <v>0.45659033078880407</v>
      </c>
      <c r="AB876" s="410">
        <f t="shared" si="1771" ref="AB876">AB875</f>
        <v>0.35908396946564886</v>
      </c>
      <c r="AC876" s="410">
        <f t="shared" si="1772" ref="AC876">AC875</f>
        <v>0</v>
      </c>
      <c r="AD876" s="410">
        <f t="shared" si="1773" ref="AD876">AD875</f>
        <v>0</v>
      </c>
      <c r="AE876" s="410">
        <f t="shared" si="1774" ref="AE876">AE875</f>
        <v>0</v>
      </c>
      <c r="AF876" s="410">
        <f t="shared" si="1775" ref="AF876">AF875</f>
        <v>0</v>
      </c>
      <c r="AG876" s="410">
        <f t="shared" si="1776" ref="AG876">AG875</f>
        <v>0</v>
      </c>
      <c r="AH876" s="410">
        <f t="shared" si="1777" ref="AH876">AH875</f>
        <v>0</v>
      </c>
      <c r="AI876" s="410">
        <f t="shared" si="1778" ref="AI876">AI875</f>
        <v>0</v>
      </c>
      <c r="AJ876" s="410">
        <f t="shared" si="1779" ref="AJ876">AJ875</f>
        <v>0</v>
      </c>
      <c r="AK876" s="410">
        <f t="shared" si="1780" ref="AK876">AK875</f>
        <v>0</v>
      </c>
      <c r="AL876" s="410">
        <f t="shared" si="1781" ref="AL876">AL875</f>
        <v>0</v>
      </c>
      <c r="AM876" s="306"/>
    </row>
    <row r="877" spans="1:39" ht="15.5" outlineLevel="1">
      <c r="A877" s="526"/>
      <c r="B877" s="425"/>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1"/>
      <c r="Z877" s="422"/>
      <c r="AA877" s="422"/>
      <c r="AB877" s="422"/>
      <c r="AC877" s="422"/>
      <c r="AD877" s="422"/>
      <c r="AE877" s="422"/>
      <c r="AF877" s="422"/>
      <c r="AG877" s="422"/>
      <c r="AH877" s="422"/>
      <c r="AI877" s="422"/>
      <c r="AJ877" s="422"/>
      <c r="AK877" s="422"/>
      <c r="AL877" s="422"/>
      <c r="AM877" s="306"/>
    </row>
    <row r="878" spans="1:39" ht="15.5" outlineLevel="1">
      <c r="A878" s="526">
        <v>34</v>
      </c>
      <c r="B878" s="425"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3"/>
      <c r="Z878" s="414"/>
      <c r="AA878" s="414"/>
      <c r="AB878" s="414"/>
      <c r="AC878" s="414"/>
      <c r="AD878" s="414"/>
      <c r="AE878" s="414"/>
      <c r="AF878" s="414"/>
      <c r="AG878" s="414"/>
      <c r="AH878" s="414"/>
      <c r="AI878" s="414"/>
      <c r="AJ878" s="414"/>
      <c r="AK878" s="414"/>
      <c r="AL878" s="414"/>
      <c r="AM878" s="296">
        <f>SUM(Y878:AL878)</f>
        <v>0</v>
      </c>
    </row>
    <row r="879" spans="1:39" ht="15.5" outlineLevel="1">
      <c r="A879" s="526"/>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0">
        <f>Y878</f>
        <v>0</v>
      </c>
      <c r="Z879" s="410">
        <f t="shared" si="1782" ref="Z879">Z878</f>
        <v>0</v>
      </c>
      <c r="AA879" s="410">
        <f t="shared" si="1783" ref="AA879">AA878</f>
        <v>0</v>
      </c>
      <c r="AB879" s="410">
        <f t="shared" si="1784" ref="AB879">AB878</f>
        <v>0</v>
      </c>
      <c r="AC879" s="410">
        <f t="shared" si="1785" ref="AC879">AC878</f>
        <v>0</v>
      </c>
      <c r="AD879" s="410">
        <f t="shared" si="1786" ref="AD879">AD878</f>
        <v>0</v>
      </c>
      <c r="AE879" s="410">
        <f t="shared" si="1787" ref="AE879">AE878</f>
        <v>0</v>
      </c>
      <c r="AF879" s="410">
        <f t="shared" si="1788" ref="AF879">AF878</f>
        <v>0</v>
      </c>
      <c r="AG879" s="410">
        <f t="shared" si="1789" ref="AG879">AG878</f>
        <v>0</v>
      </c>
      <c r="AH879" s="410">
        <f t="shared" si="1790" ref="AH879">AH878</f>
        <v>0</v>
      </c>
      <c r="AI879" s="410">
        <f t="shared" si="1791" ref="AI879">AI878</f>
        <v>0</v>
      </c>
      <c r="AJ879" s="410">
        <f t="shared" si="1792" ref="AJ879">AJ878</f>
        <v>0</v>
      </c>
      <c r="AK879" s="410">
        <f t="shared" si="1793" ref="AK879">AK878</f>
        <v>0</v>
      </c>
      <c r="AL879" s="410">
        <f t="shared" si="1794" ref="AL879">AL878</f>
        <v>0</v>
      </c>
      <c r="AM879" s="306"/>
    </row>
    <row r="880" spans="1:39" ht="15.5" outlineLevel="1">
      <c r="A880" s="526"/>
      <c r="B880" s="425"/>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1"/>
      <c r="Z880" s="422"/>
      <c r="AA880" s="422"/>
      <c r="AB880" s="422"/>
      <c r="AC880" s="422"/>
      <c r="AD880" s="422"/>
      <c r="AE880" s="422"/>
      <c r="AF880" s="422"/>
      <c r="AG880" s="422"/>
      <c r="AH880" s="422"/>
      <c r="AI880" s="422"/>
      <c r="AJ880" s="422"/>
      <c r="AK880" s="422"/>
      <c r="AL880" s="422"/>
      <c r="AM880" s="306"/>
    </row>
    <row r="881" spans="1:39" ht="15.5" outlineLevel="1">
      <c r="A881" s="526">
        <v>35</v>
      </c>
      <c r="B881" s="425"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3"/>
      <c r="Z881" s="414"/>
      <c r="AA881" s="414"/>
      <c r="AB881" s="414"/>
      <c r="AC881" s="414"/>
      <c r="AD881" s="414"/>
      <c r="AE881" s="414"/>
      <c r="AF881" s="414"/>
      <c r="AG881" s="414"/>
      <c r="AH881" s="414"/>
      <c r="AI881" s="414"/>
      <c r="AJ881" s="414"/>
      <c r="AK881" s="414"/>
      <c r="AL881" s="414"/>
      <c r="AM881" s="296">
        <f>SUM(Y881:AL881)</f>
        <v>0</v>
      </c>
    </row>
    <row r="882" spans="1:39" ht="15.5" outlineLevel="1">
      <c r="A882" s="526"/>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0">
        <f>Y881</f>
        <v>0</v>
      </c>
      <c r="Z882" s="410">
        <f t="shared" si="1795" ref="Z882">Z881</f>
        <v>0</v>
      </c>
      <c r="AA882" s="410">
        <f t="shared" si="1796" ref="AA882">AA881</f>
        <v>0</v>
      </c>
      <c r="AB882" s="410">
        <f t="shared" si="1797" ref="AB882">AB881</f>
        <v>0</v>
      </c>
      <c r="AC882" s="410">
        <f t="shared" si="1798" ref="AC882">AC881</f>
        <v>0</v>
      </c>
      <c r="AD882" s="410">
        <f t="shared" si="1799" ref="AD882">AD881</f>
        <v>0</v>
      </c>
      <c r="AE882" s="410">
        <f t="shared" si="1800" ref="AE882">AE881</f>
        <v>0</v>
      </c>
      <c r="AF882" s="410">
        <f t="shared" si="1801" ref="AF882">AF881</f>
        <v>0</v>
      </c>
      <c r="AG882" s="410">
        <f t="shared" si="1802" ref="AG882">AG881</f>
        <v>0</v>
      </c>
      <c r="AH882" s="410">
        <f t="shared" si="1803" ref="AH882">AH881</f>
        <v>0</v>
      </c>
      <c r="AI882" s="410">
        <f t="shared" si="1804" ref="AI882">AI881</f>
        <v>0</v>
      </c>
      <c r="AJ882" s="410">
        <f t="shared" si="1805" ref="AJ882">AJ881</f>
        <v>0</v>
      </c>
      <c r="AK882" s="410">
        <f t="shared" si="1806" ref="AK882">AK881</f>
        <v>0</v>
      </c>
      <c r="AL882" s="410">
        <f t="shared" si="1807" ref="AL882">AL881</f>
        <v>0</v>
      </c>
      <c r="AM882" s="306"/>
    </row>
    <row r="883" spans="1:39" ht="15.5" outlineLevel="1">
      <c r="A883" s="526"/>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1"/>
      <c r="Z883" s="422"/>
      <c r="AA883" s="422"/>
      <c r="AB883" s="422"/>
      <c r="AC883" s="422"/>
      <c r="AD883" s="422"/>
      <c r="AE883" s="422"/>
      <c r="AF883" s="422"/>
      <c r="AG883" s="422"/>
      <c r="AH883" s="422"/>
      <c r="AI883" s="422"/>
      <c r="AJ883" s="422"/>
      <c r="AK883" s="422"/>
      <c r="AL883" s="422"/>
      <c r="AM883" s="306"/>
    </row>
    <row r="884" spans="1:39" ht="15.5" outlineLevel="1">
      <c r="A884" s="526"/>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1"/>
      <c r="Z884" s="422"/>
      <c r="AA884" s="422"/>
      <c r="AB884" s="422"/>
      <c r="AC884" s="422"/>
      <c r="AD884" s="422"/>
      <c r="AE884" s="422"/>
      <c r="AF884" s="422"/>
      <c r="AG884" s="422"/>
      <c r="AH884" s="422"/>
      <c r="AI884" s="422"/>
      <c r="AJ884" s="422"/>
      <c r="AK884" s="422"/>
      <c r="AL884" s="422"/>
      <c r="AM884" s="306"/>
    </row>
    <row r="885" spans="1:39" ht="46.5" outlineLevel="1">
      <c r="A885" s="526">
        <v>36</v>
      </c>
      <c r="B885" s="425"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3"/>
      <c r="Z885" s="414"/>
      <c r="AA885" s="414"/>
      <c r="AB885" s="414"/>
      <c r="AC885" s="414"/>
      <c r="AD885" s="414"/>
      <c r="AE885" s="414"/>
      <c r="AF885" s="414"/>
      <c r="AG885" s="414"/>
      <c r="AH885" s="414"/>
      <c r="AI885" s="414"/>
      <c r="AJ885" s="414"/>
      <c r="AK885" s="414"/>
      <c r="AL885" s="414"/>
      <c r="AM885" s="296">
        <f>SUM(Y885:AL885)</f>
        <v>0</v>
      </c>
    </row>
    <row r="886" spans="1:39" ht="15.5" outlineLevel="1">
      <c r="A886" s="526"/>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0">
        <f>Y885</f>
        <v>0</v>
      </c>
      <c r="Z886" s="410">
        <f t="shared" si="1808" ref="Z886">Z885</f>
        <v>0</v>
      </c>
      <c r="AA886" s="410">
        <f t="shared" si="1809" ref="AA886">AA885</f>
        <v>0</v>
      </c>
      <c r="AB886" s="410">
        <f t="shared" si="1810" ref="AB886">AB885</f>
        <v>0</v>
      </c>
      <c r="AC886" s="410">
        <f t="shared" si="1811" ref="AC886">AC885</f>
        <v>0</v>
      </c>
      <c r="AD886" s="410">
        <f t="shared" si="1812" ref="AD886">AD885</f>
        <v>0</v>
      </c>
      <c r="AE886" s="410">
        <f t="shared" si="1813" ref="AE886">AE885</f>
        <v>0</v>
      </c>
      <c r="AF886" s="410">
        <f t="shared" si="1814" ref="AF886">AF885</f>
        <v>0</v>
      </c>
      <c r="AG886" s="410">
        <f t="shared" si="1815" ref="AG886">AG885</f>
        <v>0</v>
      </c>
      <c r="AH886" s="410">
        <f t="shared" si="1816" ref="AH886">AH885</f>
        <v>0</v>
      </c>
      <c r="AI886" s="410">
        <f t="shared" si="1817" ref="AI886">AI885</f>
        <v>0</v>
      </c>
      <c r="AJ886" s="410">
        <f t="shared" si="1818" ref="AJ886">AJ885</f>
        <v>0</v>
      </c>
      <c r="AK886" s="410">
        <f t="shared" si="1819" ref="AK886">AK885</f>
        <v>0</v>
      </c>
      <c r="AL886" s="410">
        <f t="shared" si="1820" ref="AL886">AL885</f>
        <v>0</v>
      </c>
      <c r="AM886" s="306"/>
    </row>
    <row r="887" spans="1:39" ht="15.5" outlineLevel="1">
      <c r="A887" s="526"/>
      <c r="B887" s="425"/>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1"/>
      <c r="Z887" s="422"/>
      <c r="AA887" s="422"/>
      <c r="AB887" s="422"/>
      <c r="AC887" s="422"/>
      <c r="AD887" s="422"/>
      <c r="AE887" s="422"/>
      <c r="AF887" s="422"/>
      <c r="AG887" s="422"/>
      <c r="AH887" s="422"/>
      <c r="AI887" s="422"/>
      <c r="AJ887" s="422"/>
      <c r="AK887" s="422"/>
      <c r="AL887" s="422"/>
      <c r="AM887" s="306"/>
    </row>
    <row r="888" spans="1:39" ht="31" outlineLevel="1">
      <c r="A888" s="526">
        <v>37</v>
      </c>
      <c r="B888" s="425"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3"/>
      <c r="Z888" s="414"/>
      <c r="AA888" s="414"/>
      <c r="AB888" s="414"/>
      <c r="AC888" s="414"/>
      <c r="AD888" s="414"/>
      <c r="AE888" s="414"/>
      <c r="AF888" s="414"/>
      <c r="AG888" s="414"/>
      <c r="AH888" s="414"/>
      <c r="AI888" s="414"/>
      <c r="AJ888" s="414"/>
      <c r="AK888" s="414"/>
      <c r="AL888" s="414"/>
      <c r="AM888" s="296">
        <f>SUM(Y888:AL888)</f>
        <v>0</v>
      </c>
    </row>
    <row r="889" spans="1:39" ht="15.5" outlineLevel="1">
      <c r="A889" s="526"/>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0">
        <f>Y888</f>
        <v>0</v>
      </c>
      <c r="Z889" s="410">
        <f t="shared" si="1821" ref="Z889">Z888</f>
        <v>0</v>
      </c>
      <c r="AA889" s="410">
        <f t="shared" si="1822" ref="AA889">AA888</f>
        <v>0</v>
      </c>
      <c r="AB889" s="410">
        <f t="shared" si="1823" ref="AB889">AB888</f>
        <v>0</v>
      </c>
      <c r="AC889" s="410">
        <f t="shared" si="1824" ref="AC889">AC888</f>
        <v>0</v>
      </c>
      <c r="AD889" s="410">
        <f t="shared" si="1825" ref="AD889">AD888</f>
        <v>0</v>
      </c>
      <c r="AE889" s="410">
        <f t="shared" si="1826" ref="AE889">AE888</f>
        <v>0</v>
      </c>
      <c r="AF889" s="410">
        <f t="shared" si="1827" ref="AF889">AF888</f>
        <v>0</v>
      </c>
      <c r="AG889" s="410">
        <f t="shared" si="1828" ref="AG889">AG888</f>
        <v>0</v>
      </c>
      <c r="AH889" s="410">
        <f t="shared" si="1829" ref="AH889">AH888</f>
        <v>0</v>
      </c>
      <c r="AI889" s="410">
        <f t="shared" si="1830" ref="AI889">AI888</f>
        <v>0</v>
      </c>
      <c r="AJ889" s="410">
        <f t="shared" si="1831" ref="AJ889">AJ888</f>
        <v>0</v>
      </c>
      <c r="AK889" s="410">
        <f t="shared" si="1832" ref="AK889">AK888</f>
        <v>0</v>
      </c>
      <c r="AL889" s="410">
        <f t="shared" si="1833" ref="AL889">AL888</f>
        <v>0</v>
      </c>
      <c r="AM889" s="306"/>
    </row>
    <row r="890" spans="1:39" ht="15.5" outlineLevel="1">
      <c r="A890" s="526"/>
      <c r="B890" s="425"/>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1"/>
      <c r="Z890" s="422"/>
      <c r="AA890" s="422"/>
      <c r="AB890" s="422"/>
      <c r="AC890" s="422"/>
      <c r="AD890" s="422"/>
      <c r="AE890" s="422"/>
      <c r="AF890" s="422"/>
      <c r="AG890" s="422"/>
      <c r="AH890" s="422"/>
      <c r="AI890" s="422"/>
      <c r="AJ890" s="422"/>
      <c r="AK890" s="422"/>
      <c r="AL890" s="422"/>
      <c r="AM890" s="306"/>
    </row>
    <row r="891" spans="1:39" ht="15.5" outlineLevel="1">
      <c r="A891" s="526">
        <v>38</v>
      </c>
      <c r="B891" s="425"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3"/>
      <c r="Z891" s="414"/>
      <c r="AA891" s="414"/>
      <c r="AB891" s="414"/>
      <c r="AC891" s="414"/>
      <c r="AD891" s="414"/>
      <c r="AE891" s="414"/>
      <c r="AF891" s="414"/>
      <c r="AG891" s="414"/>
      <c r="AH891" s="414"/>
      <c r="AI891" s="414"/>
      <c r="AJ891" s="414"/>
      <c r="AK891" s="414"/>
      <c r="AL891" s="414"/>
      <c r="AM891" s="296">
        <f>SUM(Y891:AL891)</f>
        <v>0</v>
      </c>
    </row>
    <row r="892" spans="1:39" ht="15.5" outlineLevel="1">
      <c r="A892" s="526"/>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0">
        <f>Y891</f>
        <v>0</v>
      </c>
      <c r="Z892" s="410">
        <f t="shared" si="1834" ref="Z892">Z891</f>
        <v>0</v>
      </c>
      <c r="AA892" s="410">
        <f t="shared" si="1835" ref="AA892">AA891</f>
        <v>0</v>
      </c>
      <c r="AB892" s="410">
        <f t="shared" si="1836" ref="AB892">AB891</f>
        <v>0</v>
      </c>
      <c r="AC892" s="410">
        <f t="shared" si="1837" ref="AC892">AC891</f>
        <v>0</v>
      </c>
      <c r="AD892" s="410">
        <f t="shared" si="1838" ref="AD892">AD891</f>
        <v>0</v>
      </c>
      <c r="AE892" s="410">
        <f t="shared" si="1839" ref="AE892">AE891</f>
        <v>0</v>
      </c>
      <c r="AF892" s="410">
        <f t="shared" si="1840" ref="AF892">AF891</f>
        <v>0</v>
      </c>
      <c r="AG892" s="410">
        <f t="shared" si="1841" ref="AG892">AG891</f>
        <v>0</v>
      </c>
      <c r="AH892" s="410">
        <f t="shared" si="1842" ref="AH892">AH891</f>
        <v>0</v>
      </c>
      <c r="AI892" s="410">
        <f t="shared" si="1843" ref="AI892">AI891</f>
        <v>0</v>
      </c>
      <c r="AJ892" s="410">
        <f t="shared" si="1844" ref="AJ892">AJ891</f>
        <v>0</v>
      </c>
      <c r="AK892" s="410">
        <f t="shared" si="1845" ref="AK892">AK891</f>
        <v>0</v>
      </c>
      <c r="AL892" s="410">
        <f t="shared" si="1846" ref="AL892">AL891</f>
        <v>0</v>
      </c>
      <c r="AM892" s="306"/>
    </row>
    <row r="893" spans="1:39" ht="15.5" outlineLevel="1">
      <c r="A893" s="526"/>
      <c r="B893" s="425"/>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1"/>
      <c r="Z893" s="422"/>
      <c r="AA893" s="422"/>
      <c r="AB893" s="422"/>
      <c r="AC893" s="422"/>
      <c r="AD893" s="422"/>
      <c r="AE893" s="422"/>
      <c r="AF893" s="422"/>
      <c r="AG893" s="422"/>
      <c r="AH893" s="422"/>
      <c r="AI893" s="422"/>
      <c r="AJ893" s="422"/>
      <c r="AK893" s="422"/>
      <c r="AL893" s="422"/>
      <c r="AM893" s="306"/>
    </row>
    <row r="894" spans="1:39" ht="31" outlineLevel="1">
      <c r="A894" s="526">
        <v>39</v>
      </c>
      <c r="B894" s="425"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3"/>
      <c r="Z894" s="414"/>
      <c r="AA894" s="414"/>
      <c r="AB894" s="414"/>
      <c r="AC894" s="414"/>
      <c r="AD894" s="414"/>
      <c r="AE894" s="414"/>
      <c r="AF894" s="414"/>
      <c r="AG894" s="414"/>
      <c r="AH894" s="414"/>
      <c r="AI894" s="414"/>
      <c r="AJ894" s="414"/>
      <c r="AK894" s="414"/>
      <c r="AL894" s="414"/>
      <c r="AM894" s="296">
        <f>SUM(Y894:AL894)</f>
        <v>0</v>
      </c>
    </row>
    <row r="895" spans="1:39" ht="15.5" outlineLevel="1">
      <c r="A895" s="526"/>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0">
        <f>Y894</f>
        <v>0</v>
      </c>
      <c r="Z895" s="410">
        <f t="shared" si="1847" ref="Z895">Z894</f>
        <v>0</v>
      </c>
      <c r="AA895" s="410">
        <f t="shared" si="1848" ref="AA895">AA894</f>
        <v>0</v>
      </c>
      <c r="AB895" s="410">
        <f t="shared" si="1849" ref="AB895">AB894</f>
        <v>0</v>
      </c>
      <c r="AC895" s="410">
        <f t="shared" si="1850" ref="AC895">AC894</f>
        <v>0</v>
      </c>
      <c r="AD895" s="410">
        <f t="shared" si="1851" ref="AD895">AD894</f>
        <v>0</v>
      </c>
      <c r="AE895" s="410">
        <f t="shared" si="1852" ref="AE895">AE894</f>
        <v>0</v>
      </c>
      <c r="AF895" s="410">
        <f t="shared" si="1853" ref="AF895">AF894</f>
        <v>0</v>
      </c>
      <c r="AG895" s="410">
        <f t="shared" si="1854" ref="AG895">AG894</f>
        <v>0</v>
      </c>
      <c r="AH895" s="410">
        <f t="shared" si="1855" ref="AH895">AH894</f>
        <v>0</v>
      </c>
      <c r="AI895" s="410">
        <f t="shared" si="1856" ref="AI895">AI894</f>
        <v>0</v>
      </c>
      <c r="AJ895" s="410">
        <f t="shared" si="1857" ref="AJ895">AJ894</f>
        <v>0</v>
      </c>
      <c r="AK895" s="410">
        <f t="shared" si="1858" ref="AK895">AK894</f>
        <v>0</v>
      </c>
      <c r="AL895" s="410">
        <f t="shared" si="1859" ref="AL895">AL894</f>
        <v>0</v>
      </c>
      <c r="AM895" s="306"/>
    </row>
    <row r="896" spans="1:39" ht="15.5" outlineLevel="1">
      <c r="A896" s="526"/>
      <c r="B896" s="425"/>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1"/>
      <c r="Z896" s="422"/>
      <c r="AA896" s="422"/>
      <c r="AB896" s="422"/>
      <c r="AC896" s="422"/>
      <c r="AD896" s="422"/>
      <c r="AE896" s="422"/>
      <c r="AF896" s="422"/>
      <c r="AG896" s="422"/>
      <c r="AH896" s="422"/>
      <c r="AI896" s="422"/>
      <c r="AJ896" s="422"/>
      <c r="AK896" s="422"/>
      <c r="AL896" s="422"/>
      <c r="AM896" s="306"/>
    </row>
    <row r="897" spans="1:39" ht="31" outlineLevel="1">
      <c r="A897" s="526">
        <v>40</v>
      </c>
      <c r="B897" s="425"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3"/>
      <c r="Z897" s="414"/>
      <c r="AA897" s="414"/>
      <c r="AB897" s="414"/>
      <c r="AC897" s="414"/>
      <c r="AD897" s="414"/>
      <c r="AE897" s="414"/>
      <c r="AF897" s="414"/>
      <c r="AG897" s="414"/>
      <c r="AH897" s="414"/>
      <c r="AI897" s="414"/>
      <c r="AJ897" s="414"/>
      <c r="AK897" s="414"/>
      <c r="AL897" s="414"/>
      <c r="AM897" s="296">
        <f>SUM(Y897:AL897)</f>
        <v>0</v>
      </c>
    </row>
    <row r="898" spans="1:39" ht="15.5" outlineLevel="1">
      <c r="A898" s="526"/>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0">
        <f>Y897</f>
        <v>0</v>
      </c>
      <c r="Z898" s="410">
        <f t="shared" si="1860" ref="Z898">Z897</f>
        <v>0</v>
      </c>
      <c r="AA898" s="410">
        <f t="shared" si="1861" ref="AA898">AA897</f>
        <v>0</v>
      </c>
      <c r="AB898" s="410">
        <f t="shared" si="1862" ref="AB898">AB897</f>
        <v>0</v>
      </c>
      <c r="AC898" s="410">
        <f t="shared" si="1863" ref="AC898">AC897</f>
        <v>0</v>
      </c>
      <c r="AD898" s="410">
        <f t="shared" si="1864" ref="AD898">AD897</f>
        <v>0</v>
      </c>
      <c r="AE898" s="410">
        <f t="shared" si="1865" ref="AE898">AE897</f>
        <v>0</v>
      </c>
      <c r="AF898" s="410">
        <f t="shared" si="1866" ref="AF898">AF897</f>
        <v>0</v>
      </c>
      <c r="AG898" s="410">
        <f t="shared" si="1867" ref="AG898">AG897</f>
        <v>0</v>
      </c>
      <c r="AH898" s="410">
        <f t="shared" si="1868" ref="AH898">AH897</f>
        <v>0</v>
      </c>
      <c r="AI898" s="410">
        <f t="shared" si="1869" ref="AI898">AI897</f>
        <v>0</v>
      </c>
      <c r="AJ898" s="410">
        <f t="shared" si="1870" ref="AJ898">AJ897</f>
        <v>0</v>
      </c>
      <c r="AK898" s="410">
        <f t="shared" si="1871" ref="AK898">AK897</f>
        <v>0</v>
      </c>
      <c r="AL898" s="410">
        <f t="shared" si="1872" ref="AL898">AL897</f>
        <v>0</v>
      </c>
      <c r="AM898" s="306"/>
    </row>
    <row r="899" spans="1:39" ht="15.5" outlineLevel="1">
      <c r="A899" s="526"/>
      <c r="B899" s="425"/>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1"/>
      <c r="Z899" s="422"/>
      <c r="AA899" s="422"/>
      <c r="AB899" s="422"/>
      <c r="AC899" s="422"/>
      <c r="AD899" s="422"/>
      <c r="AE899" s="422"/>
      <c r="AF899" s="422"/>
      <c r="AG899" s="422"/>
      <c r="AH899" s="422"/>
      <c r="AI899" s="422"/>
      <c r="AJ899" s="422"/>
      <c r="AK899" s="422"/>
      <c r="AL899" s="422"/>
      <c r="AM899" s="306"/>
    </row>
    <row r="900" spans="1:39" ht="46.5" outlineLevel="1">
      <c r="A900" s="526">
        <v>41</v>
      </c>
      <c r="B900" s="425"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3"/>
      <c r="Z900" s="414"/>
      <c r="AA900" s="414"/>
      <c r="AB900" s="414"/>
      <c r="AC900" s="414"/>
      <c r="AD900" s="414"/>
      <c r="AE900" s="414"/>
      <c r="AF900" s="414"/>
      <c r="AG900" s="414"/>
      <c r="AH900" s="414"/>
      <c r="AI900" s="414"/>
      <c r="AJ900" s="414"/>
      <c r="AK900" s="414"/>
      <c r="AL900" s="414"/>
      <c r="AM900" s="296">
        <f>SUM(Y900:AL900)</f>
        <v>0</v>
      </c>
    </row>
    <row r="901" spans="1:39" ht="15.5" outlineLevel="1">
      <c r="A901" s="526"/>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0">
        <f>Y900</f>
        <v>0</v>
      </c>
      <c r="Z901" s="410">
        <f t="shared" si="1873" ref="Z901">Z900</f>
        <v>0</v>
      </c>
      <c r="AA901" s="410">
        <f t="shared" si="1874" ref="AA901">AA900</f>
        <v>0</v>
      </c>
      <c r="AB901" s="410">
        <f t="shared" si="1875" ref="AB901">AB900</f>
        <v>0</v>
      </c>
      <c r="AC901" s="410">
        <f t="shared" si="1876" ref="AC901">AC900</f>
        <v>0</v>
      </c>
      <c r="AD901" s="410">
        <f t="shared" si="1877" ref="AD901">AD900</f>
        <v>0</v>
      </c>
      <c r="AE901" s="410">
        <f t="shared" si="1878" ref="AE901">AE900</f>
        <v>0</v>
      </c>
      <c r="AF901" s="410">
        <f t="shared" si="1879" ref="AF901">AF900</f>
        <v>0</v>
      </c>
      <c r="AG901" s="410">
        <f t="shared" si="1880" ref="AG901">AG900</f>
        <v>0</v>
      </c>
      <c r="AH901" s="410">
        <f t="shared" si="1881" ref="AH901">AH900</f>
        <v>0</v>
      </c>
      <c r="AI901" s="410">
        <f t="shared" si="1882" ref="AI901">AI900</f>
        <v>0</v>
      </c>
      <c r="AJ901" s="410">
        <f t="shared" si="1883" ref="AJ901">AJ900</f>
        <v>0</v>
      </c>
      <c r="AK901" s="410">
        <f t="shared" si="1884" ref="AK901">AK900</f>
        <v>0</v>
      </c>
      <c r="AL901" s="410">
        <f t="shared" si="1885" ref="AL901">AL900</f>
        <v>0</v>
      </c>
      <c r="AM901" s="306"/>
    </row>
    <row r="902" spans="1:39" ht="15.5" outlineLevel="1">
      <c r="A902" s="526"/>
      <c r="B902" s="425"/>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1"/>
      <c r="Z902" s="422"/>
      <c r="AA902" s="422"/>
      <c r="AB902" s="422"/>
      <c r="AC902" s="422"/>
      <c r="AD902" s="422"/>
      <c r="AE902" s="422"/>
      <c r="AF902" s="422"/>
      <c r="AG902" s="422"/>
      <c r="AH902" s="422"/>
      <c r="AI902" s="422"/>
      <c r="AJ902" s="422"/>
      <c r="AK902" s="422"/>
      <c r="AL902" s="422"/>
      <c r="AM902" s="306"/>
    </row>
    <row r="903" spans="1:39" ht="31" outlineLevel="1">
      <c r="A903" s="526">
        <v>42</v>
      </c>
      <c r="B903" s="425"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3"/>
      <c r="Z903" s="414"/>
      <c r="AA903" s="414"/>
      <c r="AB903" s="414"/>
      <c r="AC903" s="414"/>
      <c r="AD903" s="414"/>
      <c r="AE903" s="414"/>
      <c r="AF903" s="414"/>
      <c r="AG903" s="414"/>
      <c r="AH903" s="414"/>
      <c r="AI903" s="414"/>
      <c r="AJ903" s="414"/>
      <c r="AK903" s="414"/>
      <c r="AL903" s="414"/>
      <c r="AM903" s="296">
        <f>SUM(Y903:AL903)</f>
        <v>0</v>
      </c>
    </row>
    <row r="904" spans="1:39" ht="15.5" outlineLevel="1">
      <c r="A904" s="526"/>
      <c r="B904" s="294" t="s">
        <v>342</v>
      </c>
      <c r="C904" s="291" t="s">
        <v>163</v>
      </c>
      <c r="D904" s="295"/>
      <c r="E904" s="295"/>
      <c r="F904" s="295"/>
      <c r="G904" s="295"/>
      <c r="H904" s="295"/>
      <c r="I904" s="295"/>
      <c r="J904" s="295"/>
      <c r="K904" s="295"/>
      <c r="L904" s="295"/>
      <c r="M904" s="295"/>
      <c r="N904" s="464"/>
      <c r="O904" s="295"/>
      <c r="P904" s="295"/>
      <c r="Q904" s="295"/>
      <c r="R904" s="295"/>
      <c r="S904" s="295"/>
      <c r="T904" s="295"/>
      <c r="U904" s="295"/>
      <c r="V904" s="295"/>
      <c r="W904" s="295"/>
      <c r="X904" s="295"/>
      <c r="Y904" s="410">
        <f>Y903</f>
        <v>0</v>
      </c>
      <c r="Z904" s="410">
        <f t="shared" si="1886" ref="Z904">Z903</f>
        <v>0</v>
      </c>
      <c r="AA904" s="410">
        <f t="shared" si="1887" ref="AA904">AA903</f>
        <v>0</v>
      </c>
      <c r="AB904" s="410">
        <f t="shared" si="1888" ref="AB904">AB903</f>
        <v>0</v>
      </c>
      <c r="AC904" s="410">
        <f t="shared" si="1889" ref="AC904">AC903</f>
        <v>0</v>
      </c>
      <c r="AD904" s="410">
        <f t="shared" si="1890" ref="AD904">AD903</f>
        <v>0</v>
      </c>
      <c r="AE904" s="410">
        <f t="shared" si="1891" ref="AE904">AE903</f>
        <v>0</v>
      </c>
      <c r="AF904" s="410">
        <f t="shared" si="1892" ref="AF904">AF903</f>
        <v>0</v>
      </c>
      <c r="AG904" s="410">
        <f t="shared" si="1893" ref="AG904">AG903</f>
        <v>0</v>
      </c>
      <c r="AH904" s="410">
        <f t="shared" si="1894" ref="AH904">AH903</f>
        <v>0</v>
      </c>
      <c r="AI904" s="410">
        <f t="shared" si="1895" ref="AI904">AI903</f>
        <v>0</v>
      </c>
      <c r="AJ904" s="410">
        <f t="shared" si="1896" ref="AJ904">AJ903</f>
        <v>0</v>
      </c>
      <c r="AK904" s="410">
        <f t="shared" si="1897" ref="AK904">AK903</f>
        <v>0</v>
      </c>
      <c r="AL904" s="410">
        <f t="shared" si="1898" ref="AL904">AL903</f>
        <v>0</v>
      </c>
      <c r="AM904" s="306"/>
    </row>
    <row r="905" spans="1:39" ht="15.5" outlineLevel="1">
      <c r="A905" s="526"/>
      <c r="B905" s="425"/>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1"/>
      <c r="Z905" s="422"/>
      <c r="AA905" s="422"/>
      <c r="AB905" s="422"/>
      <c r="AC905" s="422"/>
      <c r="AD905" s="422"/>
      <c r="AE905" s="422"/>
      <c r="AF905" s="422"/>
      <c r="AG905" s="422"/>
      <c r="AH905" s="422"/>
      <c r="AI905" s="422"/>
      <c r="AJ905" s="422"/>
      <c r="AK905" s="422"/>
      <c r="AL905" s="422"/>
      <c r="AM905" s="306"/>
    </row>
    <row r="906" spans="1:39" ht="15.5" outlineLevel="1">
      <c r="A906" s="526">
        <v>43</v>
      </c>
      <c r="B906" s="425"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3"/>
      <c r="Z906" s="414"/>
      <c r="AA906" s="414"/>
      <c r="AB906" s="414"/>
      <c r="AC906" s="414"/>
      <c r="AD906" s="414"/>
      <c r="AE906" s="414"/>
      <c r="AF906" s="414"/>
      <c r="AG906" s="414"/>
      <c r="AH906" s="414"/>
      <c r="AI906" s="414"/>
      <c r="AJ906" s="414"/>
      <c r="AK906" s="414"/>
      <c r="AL906" s="414"/>
      <c r="AM906" s="296">
        <f>SUM(Y906:AL906)</f>
        <v>0</v>
      </c>
    </row>
    <row r="907" spans="1:39" ht="15.5" outlineLevel="1">
      <c r="A907" s="526"/>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0">
        <f>Y906</f>
        <v>0</v>
      </c>
      <c r="Z907" s="410">
        <f t="shared" si="1899" ref="Z907">Z906</f>
        <v>0</v>
      </c>
      <c r="AA907" s="410">
        <f t="shared" si="1900" ref="AA907">AA906</f>
        <v>0</v>
      </c>
      <c r="AB907" s="410">
        <f t="shared" si="1901" ref="AB907">AB906</f>
        <v>0</v>
      </c>
      <c r="AC907" s="410">
        <f t="shared" si="1902" ref="AC907">AC906</f>
        <v>0</v>
      </c>
      <c r="AD907" s="410">
        <f t="shared" si="1903" ref="AD907">AD906</f>
        <v>0</v>
      </c>
      <c r="AE907" s="410">
        <f t="shared" si="1904" ref="AE907">AE906</f>
        <v>0</v>
      </c>
      <c r="AF907" s="410">
        <f t="shared" si="1905" ref="AF907">AF906</f>
        <v>0</v>
      </c>
      <c r="AG907" s="410">
        <f t="shared" si="1906" ref="AG907">AG906</f>
        <v>0</v>
      </c>
      <c r="AH907" s="410">
        <f t="shared" si="1907" ref="AH907">AH906</f>
        <v>0</v>
      </c>
      <c r="AI907" s="410">
        <f t="shared" si="1908" ref="AI907">AI906</f>
        <v>0</v>
      </c>
      <c r="AJ907" s="410">
        <f t="shared" si="1909" ref="AJ907">AJ906</f>
        <v>0</v>
      </c>
      <c r="AK907" s="410">
        <f t="shared" si="1910" ref="AK907">AK906</f>
        <v>0</v>
      </c>
      <c r="AL907" s="410">
        <f t="shared" si="1911" ref="AL907">AL906</f>
        <v>0</v>
      </c>
      <c r="AM907" s="306"/>
    </row>
    <row r="908" spans="1:39" ht="15.5" outlineLevel="1">
      <c r="A908" s="526"/>
      <c r="B908" s="425"/>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1"/>
      <c r="Z908" s="422"/>
      <c r="AA908" s="422"/>
      <c r="AB908" s="422"/>
      <c r="AC908" s="422"/>
      <c r="AD908" s="422"/>
      <c r="AE908" s="422"/>
      <c r="AF908" s="422"/>
      <c r="AG908" s="422"/>
      <c r="AH908" s="422"/>
      <c r="AI908" s="422"/>
      <c r="AJ908" s="422"/>
      <c r="AK908" s="422"/>
      <c r="AL908" s="422"/>
      <c r="AM908" s="306"/>
    </row>
    <row r="909" spans="1:39" ht="46.5" outlineLevel="1">
      <c r="A909" s="526">
        <v>44</v>
      </c>
      <c r="B909" s="425"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3"/>
      <c r="Z909" s="414"/>
      <c r="AA909" s="414"/>
      <c r="AB909" s="414"/>
      <c r="AC909" s="414"/>
      <c r="AD909" s="414"/>
      <c r="AE909" s="414"/>
      <c r="AF909" s="414"/>
      <c r="AG909" s="414"/>
      <c r="AH909" s="414"/>
      <c r="AI909" s="414"/>
      <c r="AJ909" s="414"/>
      <c r="AK909" s="414"/>
      <c r="AL909" s="414"/>
      <c r="AM909" s="296">
        <f>SUM(Y909:AL909)</f>
        <v>0</v>
      </c>
    </row>
    <row r="910" spans="1:39" ht="15.5" outlineLevel="1">
      <c r="A910" s="526"/>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0">
        <f>Y909</f>
        <v>0</v>
      </c>
      <c r="Z910" s="410">
        <f t="shared" si="1912" ref="Z910">Z909</f>
        <v>0</v>
      </c>
      <c r="AA910" s="410">
        <f t="shared" si="1913" ref="AA910">AA909</f>
        <v>0</v>
      </c>
      <c r="AB910" s="410">
        <f t="shared" si="1914" ref="AB910">AB909</f>
        <v>0</v>
      </c>
      <c r="AC910" s="410">
        <f t="shared" si="1915" ref="AC910">AC909</f>
        <v>0</v>
      </c>
      <c r="AD910" s="410">
        <f t="shared" si="1916" ref="AD910">AD909</f>
        <v>0</v>
      </c>
      <c r="AE910" s="410">
        <f t="shared" si="1917" ref="AE910">AE909</f>
        <v>0</v>
      </c>
      <c r="AF910" s="410">
        <f t="shared" si="1918" ref="AF910">AF909</f>
        <v>0</v>
      </c>
      <c r="AG910" s="410">
        <f t="shared" si="1919" ref="AG910">AG909</f>
        <v>0</v>
      </c>
      <c r="AH910" s="410">
        <f t="shared" si="1920" ref="AH910">AH909</f>
        <v>0</v>
      </c>
      <c r="AI910" s="410">
        <f t="shared" si="1921" ref="AI910">AI909</f>
        <v>0</v>
      </c>
      <c r="AJ910" s="410">
        <f t="shared" si="1922" ref="AJ910">AJ909</f>
        <v>0</v>
      </c>
      <c r="AK910" s="410">
        <f t="shared" si="1923" ref="AK910">AK909</f>
        <v>0</v>
      </c>
      <c r="AL910" s="410">
        <f t="shared" si="1924" ref="AL910">AL909</f>
        <v>0</v>
      </c>
      <c r="AM910" s="306"/>
    </row>
    <row r="911" spans="1:39" ht="15.5" outlineLevel="1">
      <c r="A911" s="526"/>
      <c r="B911" s="425"/>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1"/>
      <c r="Z911" s="422"/>
      <c r="AA911" s="422"/>
      <c r="AB911" s="422"/>
      <c r="AC911" s="422"/>
      <c r="AD911" s="422"/>
      <c r="AE911" s="422"/>
      <c r="AF911" s="422"/>
      <c r="AG911" s="422"/>
      <c r="AH911" s="422"/>
      <c r="AI911" s="422"/>
      <c r="AJ911" s="422"/>
      <c r="AK911" s="422"/>
      <c r="AL911" s="422"/>
      <c r="AM911" s="306"/>
    </row>
    <row r="912" spans="1:39" ht="31" outlineLevel="1">
      <c r="A912" s="526">
        <v>45</v>
      </c>
      <c r="B912" s="425"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3"/>
      <c r="Z912" s="414"/>
      <c r="AA912" s="414"/>
      <c r="AB912" s="414"/>
      <c r="AC912" s="414"/>
      <c r="AD912" s="414"/>
      <c r="AE912" s="414"/>
      <c r="AF912" s="414"/>
      <c r="AG912" s="414"/>
      <c r="AH912" s="414"/>
      <c r="AI912" s="414"/>
      <c r="AJ912" s="414"/>
      <c r="AK912" s="414"/>
      <c r="AL912" s="414"/>
      <c r="AM912" s="296">
        <f>SUM(Y912:AL912)</f>
        <v>0</v>
      </c>
    </row>
    <row r="913" spans="1:39" ht="15.5" outlineLevel="1">
      <c r="A913" s="526"/>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0">
        <f>Y912</f>
        <v>0</v>
      </c>
      <c r="Z913" s="410">
        <f t="shared" si="1925" ref="Z913">Z912</f>
        <v>0</v>
      </c>
      <c r="AA913" s="410">
        <f t="shared" si="1926" ref="AA913">AA912</f>
        <v>0</v>
      </c>
      <c r="AB913" s="410">
        <f t="shared" si="1927" ref="AB913">AB912</f>
        <v>0</v>
      </c>
      <c r="AC913" s="410">
        <f t="shared" si="1928" ref="AC913">AC912</f>
        <v>0</v>
      </c>
      <c r="AD913" s="410">
        <f t="shared" si="1929" ref="AD913">AD912</f>
        <v>0</v>
      </c>
      <c r="AE913" s="410">
        <f t="shared" si="1930" ref="AE913">AE912</f>
        <v>0</v>
      </c>
      <c r="AF913" s="410">
        <f t="shared" si="1931" ref="AF913">AF912</f>
        <v>0</v>
      </c>
      <c r="AG913" s="410">
        <f t="shared" si="1932" ref="AG913">AG912</f>
        <v>0</v>
      </c>
      <c r="AH913" s="410">
        <f t="shared" si="1933" ref="AH913">AH912</f>
        <v>0</v>
      </c>
      <c r="AI913" s="410">
        <f t="shared" si="1934" ref="AI913">AI912</f>
        <v>0</v>
      </c>
      <c r="AJ913" s="410">
        <f t="shared" si="1935" ref="AJ913">AJ912</f>
        <v>0</v>
      </c>
      <c r="AK913" s="410">
        <f t="shared" si="1936" ref="AK913">AK912</f>
        <v>0</v>
      </c>
      <c r="AL913" s="410">
        <f t="shared" si="1937" ref="AL913">AL912</f>
        <v>0</v>
      </c>
      <c r="AM913" s="306"/>
    </row>
    <row r="914" spans="1:39" ht="15.5" outlineLevel="1">
      <c r="A914" s="526"/>
      <c r="B914" s="425"/>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1"/>
      <c r="Z914" s="422"/>
      <c r="AA914" s="422"/>
      <c r="AB914" s="422"/>
      <c r="AC914" s="422"/>
      <c r="AD914" s="422"/>
      <c r="AE914" s="422"/>
      <c r="AF914" s="422"/>
      <c r="AG914" s="422"/>
      <c r="AH914" s="422"/>
      <c r="AI914" s="422"/>
      <c r="AJ914" s="422"/>
      <c r="AK914" s="422"/>
      <c r="AL914" s="422"/>
      <c r="AM914" s="306"/>
    </row>
    <row r="915" spans="1:39" ht="31" outlineLevel="1">
      <c r="A915" s="526">
        <v>46</v>
      </c>
      <c r="B915" s="425"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3"/>
      <c r="Z915" s="414"/>
      <c r="AA915" s="414"/>
      <c r="AB915" s="414"/>
      <c r="AC915" s="414"/>
      <c r="AD915" s="414"/>
      <c r="AE915" s="414"/>
      <c r="AF915" s="414"/>
      <c r="AG915" s="414"/>
      <c r="AH915" s="414"/>
      <c r="AI915" s="414"/>
      <c r="AJ915" s="414"/>
      <c r="AK915" s="414"/>
      <c r="AL915" s="414"/>
      <c r="AM915" s="296">
        <f>SUM(Y915:AL915)</f>
        <v>0</v>
      </c>
    </row>
    <row r="916" spans="1:39" ht="15.5" outlineLevel="1">
      <c r="A916" s="526"/>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0">
        <f>Y915</f>
        <v>0</v>
      </c>
      <c r="Z916" s="410">
        <f t="shared" si="1938" ref="Z916">Z915</f>
        <v>0</v>
      </c>
      <c r="AA916" s="410">
        <f t="shared" si="1939" ref="AA916">AA915</f>
        <v>0</v>
      </c>
      <c r="AB916" s="410">
        <f t="shared" si="1940" ref="AB916">AB915</f>
        <v>0</v>
      </c>
      <c r="AC916" s="410">
        <f t="shared" si="1941" ref="AC916">AC915</f>
        <v>0</v>
      </c>
      <c r="AD916" s="410">
        <f t="shared" si="1942" ref="AD916">AD915</f>
        <v>0</v>
      </c>
      <c r="AE916" s="410">
        <f t="shared" si="1943" ref="AE916">AE915</f>
        <v>0</v>
      </c>
      <c r="AF916" s="410">
        <f t="shared" si="1944" ref="AF916">AF915</f>
        <v>0</v>
      </c>
      <c r="AG916" s="410">
        <f t="shared" si="1945" ref="AG916">AG915</f>
        <v>0</v>
      </c>
      <c r="AH916" s="410">
        <f t="shared" si="1946" ref="AH916">AH915</f>
        <v>0</v>
      </c>
      <c r="AI916" s="410">
        <f t="shared" si="1947" ref="AI916">AI915</f>
        <v>0</v>
      </c>
      <c r="AJ916" s="410">
        <f t="shared" si="1948" ref="AJ916">AJ915</f>
        <v>0</v>
      </c>
      <c r="AK916" s="410">
        <f t="shared" si="1949" ref="AK916">AK915</f>
        <v>0</v>
      </c>
      <c r="AL916" s="410">
        <f t="shared" si="1950" ref="AL916">AL915</f>
        <v>0</v>
      </c>
      <c r="AM916" s="306"/>
    </row>
    <row r="917" spans="1:39" ht="15.5" outlineLevel="1">
      <c r="A917" s="526"/>
      <c r="B917" s="425"/>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1"/>
      <c r="Z917" s="422"/>
      <c r="AA917" s="422"/>
      <c r="AB917" s="422"/>
      <c r="AC917" s="422"/>
      <c r="AD917" s="422"/>
      <c r="AE917" s="422"/>
      <c r="AF917" s="422"/>
      <c r="AG917" s="422"/>
      <c r="AH917" s="422"/>
      <c r="AI917" s="422"/>
      <c r="AJ917" s="422"/>
      <c r="AK917" s="422"/>
      <c r="AL917" s="422"/>
      <c r="AM917" s="306"/>
    </row>
    <row r="918" spans="1:39" ht="31" outlineLevel="1">
      <c r="A918" s="526">
        <v>47</v>
      </c>
      <c r="B918" s="425"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3"/>
      <c r="Z918" s="414"/>
      <c r="AA918" s="414"/>
      <c r="AB918" s="414"/>
      <c r="AC918" s="414"/>
      <c r="AD918" s="414"/>
      <c r="AE918" s="414"/>
      <c r="AF918" s="414"/>
      <c r="AG918" s="414"/>
      <c r="AH918" s="414"/>
      <c r="AI918" s="414"/>
      <c r="AJ918" s="414"/>
      <c r="AK918" s="414"/>
      <c r="AL918" s="414"/>
      <c r="AM918" s="296">
        <f>SUM(Y918:AL918)</f>
        <v>0</v>
      </c>
    </row>
    <row r="919" spans="1:39" ht="15.5" outlineLevel="1">
      <c r="A919" s="526"/>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0">
        <f>Y918</f>
        <v>0</v>
      </c>
      <c r="Z919" s="410">
        <f t="shared" si="1951" ref="Z919">Z918</f>
        <v>0</v>
      </c>
      <c r="AA919" s="410">
        <f t="shared" si="1952" ref="AA919">AA918</f>
        <v>0</v>
      </c>
      <c r="AB919" s="410">
        <f t="shared" si="1953" ref="AB919">AB918</f>
        <v>0</v>
      </c>
      <c r="AC919" s="410">
        <f t="shared" si="1954" ref="AC919">AC918</f>
        <v>0</v>
      </c>
      <c r="AD919" s="410">
        <f t="shared" si="1955" ref="AD919">AD918</f>
        <v>0</v>
      </c>
      <c r="AE919" s="410">
        <f t="shared" si="1956" ref="AE919">AE918</f>
        <v>0</v>
      </c>
      <c r="AF919" s="410">
        <f t="shared" si="1957" ref="AF919">AF918</f>
        <v>0</v>
      </c>
      <c r="AG919" s="410">
        <f t="shared" si="1958" ref="AG919">AG918</f>
        <v>0</v>
      </c>
      <c r="AH919" s="410">
        <f t="shared" si="1959" ref="AH919">AH918</f>
        <v>0</v>
      </c>
      <c r="AI919" s="410">
        <f t="shared" si="1960" ref="AI919">AI918</f>
        <v>0</v>
      </c>
      <c r="AJ919" s="410">
        <f t="shared" si="1961" ref="AJ919">AJ918</f>
        <v>0</v>
      </c>
      <c r="AK919" s="410">
        <f t="shared" si="1962" ref="AK919">AK918</f>
        <v>0</v>
      </c>
      <c r="AL919" s="410">
        <f t="shared" si="1963" ref="AL919">AL918</f>
        <v>0</v>
      </c>
      <c r="AM919" s="306"/>
    </row>
    <row r="920" spans="1:39" ht="15.5" outlineLevel="1">
      <c r="A920" s="526"/>
      <c r="B920" s="425"/>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1"/>
      <c r="Z920" s="422"/>
      <c r="AA920" s="422"/>
      <c r="AB920" s="422"/>
      <c r="AC920" s="422"/>
      <c r="AD920" s="422"/>
      <c r="AE920" s="422"/>
      <c r="AF920" s="422"/>
      <c r="AG920" s="422"/>
      <c r="AH920" s="422"/>
      <c r="AI920" s="422"/>
      <c r="AJ920" s="422"/>
      <c r="AK920" s="422"/>
      <c r="AL920" s="422"/>
      <c r="AM920" s="306"/>
    </row>
    <row r="921" spans="1:39" ht="31" outlineLevel="1">
      <c r="A921" s="526">
        <v>48</v>
      </c>
      <c r="B921" s="425"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3"/>
      <c r="Z921" s="414"/>
      <c r="AA921" s="414"/>
      <c r="AB921" s="414"/>
      <c r="AC921" s="414"/>
      <c r="AD921" s="414"/>
      <c r="AE921" s="414"/>
      <c r="AF921" s="414"/>
      <c r="AG921" s="414"/>
      <c r="AH921" s="414"/>
      <c r="AI921" s="414"/>
      <c r="AJ921" s="414"/>
      <c r="AK921" s="414"/>
      <c r="AL921" s="414"/>
      <c r="AM921" s="296">
        <f>SUM(Y921:AL921)</f>
        <v>0</v>
      </c>
    </row>
    <row r="922" spans="1:39" ht="15.5" outlineLevel="1">
      <c r="A922" s="526"/>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0">
        <f>Y921</f>
        <v>0</v>
      </c>
      <c r="Z922" s="410">
        <f t="shared" si="1964" ref="Z922">Z921</f>
        <v>0</v>
      </c>
      <c r="AA922" s="410">
        <f t="shared" si="1965" ref="AA922">AA921</f>
        <v>0</v>
      </c>
      <c r="AB922" s="410">
        <f t="shared" si="1966" ref="AB922">AB921</f>
        <v>0</v>
      </c>
      <c r="AC922" s="410">
        <f t="shared" si="1967" ref="AC922">AC921</f>
        <v>0</v>
      </c>
      <c r="AD922" s="410">
        <f t="shared" si="1968" ref="AD922">AD921</f>
        <v>0</v>
      </c>
      <c r="AE922" s="410">
        <f t="shared" si="1969" ref="AE922">AE921</f>
        <v>0</v>
      </c>
      <c r="AF922" s="410">
        <f t="shared" si="1970" ref="AF922">AF921</f>
        <v>0</v>
      </c>
      <c r="AG922" s="410">
        <f t="shared" si="1971" ref="AG922">AG921</f>
        <v>0</v>
      </c>
      <c r="AH922" s="410">
        <f t="shared" si="1972" ref="AH922">AH921</f>
        <v>0</v>
      </c>
      <c r="AI922" s="410">
        <f t="shared" si="1973" ref="AI922">AI921</f>
        <v>0</v>
      </c>
      <c r="AJ922" s="410">
        <f t="shared" si="1974" ref="AJ922">AJ921</f>
        <v>0</v>
      </c>
      <c r="AK922" s="410">
        <f t="shared" si="1975" ref="AK922">AK921</f>
        <v>0</v>
      </c>
      <c r="AL922" s="410">
        <f t="shared" si="1976" ref="AL922">AL921</f>
        <v>0</v>
      </c>
      <c r="AM922" s="306"/>
    </row>
    <row r="923" spans="1:39" ht="15.5" outlineLevel="1">
      <c r="A923" s="526"/>
      <c r="B923" s="425"/>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1"/>
      <c r="Z923" s="422"/>
      <c r="AA923" s="422"/>
      <c r="AB923" s="422"/>
      <c r="AC923" s="422"/>
      <c r="AD923" s="422"/>
      <c r="AE923" s="422"/>
      <c r="AF923" s="422"/>
      <c r="AG923" s="422"/>
      <c r="AH923" s="422"/>
      <c r="AI923" s="422"/>
      <c r="AJ923" s="422"/>
      <c r="AK923" s="422"/>
      <c r="AL923" s="422"/>
      <c r="AM923" s="306"/>
    </row>
    <row r="924" spans="1:39" ht="31" outlineLevel="1">
      <c r="A924" s="526">
        <v>49</v>
      </c>
      <c r="B924" s="425"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3"/>
      <c r="Z924" s="414"/>
      <c r="AA924" s="414"/>
      <c r="AB924" s="414"/>
      <c r="AC924" s="414"/>
      <c r="AD924" s="414"/>
      <c r="AE924" s="414"/>
      <c r="AF924" s="414"/>
      <c r="AG924" s="414"/>
      <c r="AH924" s="414"/>
      <c r="AI924" s="414"/>
      <c r="AJ924" s="414"/>
      <c r="AK924" s="414"/>
      <c r="AL924" s="414"/>
      <c r="AM924" s="296">
        <f>SUM(Y924:AL924)</f>
        <v>0</v>
      </c>
    </row>
    <row r="925" spans="1:39" ht="15.5" outlineLevel="1">
      <c r="A925" s="526"/>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0">
        <f>Y924</f>
        <v>0</v>
      </c>
      <c r="Z925" s="410">
        <f t="shared" si="1977" ref="Z925">Z924</f>
        <v>0</v>
      </c>
      <c r="AA925" s="410">
        <f t="shared" si="1978" ref="AA925">AA924</f>
        <v>0</v>
      </c>
      <c r="AB925" s="410">
        <f t="shared" si="1979" ref="AB925">AB924</f>
        <v>0</v>
      </c>
      <c r="AC925" s="410">
        <f t="shared" si="1980" ref="AC925">AC924</f>
        <v>0</v>
      </c>
      <c r="AD925" s="410">
        <f t="shared" si="1981" ref="AD925">AD924</f>
        <v>0</v>
      </c>
      <c r="AE925" s="410">
        <f t="shared" si="1982" ref="AE925">AE924</f>
        <v>0</v>
      </c>
      <c r="AF925" s="410">
        <f t="shared" si="1983" ref="AF925">AF924</f>
        <v>0</v>
      </c>
      <c r="AG925" s="410">
        <f t="shared" si="1984" ref="AG925">AG924</f>
        <v>0</v>
      </c>
      <c r="AH925" s="410">
        <f t="shared" si="1985" ref="AH925">AH924</f>
        <v>0</v>
      </c>
      <c r="AI925" s="410">
        <f t="shared" si="1986" ref="AI925">AI924</f>
        <v>0</v>
      </c>
      <c r="AJ925" s="410">
        <f t="shared" si="1987" ref="AJ925">AJ924</f>
        <v>0</v>
      </c>
      <c r="AK925" s="410">
        <f t="shared" si="1988" ref="AK925">AK924</f>
        <v>0</v>
      </c>
      <c r="AL925" s="410">
        <f t="shared" si="1989" ref="AL925">AL924</f>
        <v>0</v>
      </c>
      <c r="AM925" s="306"/>
    </row>
    <row r="926" spans="1:39" ht="15.5" outlineLevel="1">
      <c r="A926" s="526"/>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2:39" ht="15.5">
      <c r="B927" s="326" t="s">
        <v>328</v>
      </c>
      <c r="C927" s="328"/>
      <c r="D927" s="328">
        <f>SUM(D770:D925)</f>
        <v>294918.37478213827</v>
      </c>
      <c r="E927" s="328"/>
      <c r="F927" s="328"/>
      <c r="G927" s="328"/>
      <c r="H927" s="328"/>
      <c r="I927" s="328"/>
      <c r="J927" s="328"/>
      <c r="K927" s="328"/>
      <c r="L927" s="328"/>
      <c r="M927" s="328"/>
      <c r="N927" s="328"/>
      <c r="O927" s="328">
        <f>SUM(O770:O925)</f>
        <v>38.819847809387383</v>
      </c>
      <c r="P927" s="328"/>
      <c r="Q927" s="328"/>
      <c r="R927" s="328"/>
      <c r="S927" s="328"/>
      <c r="T927" s="328"/>
      <c r="U927" s="328"/>
      <c r="V927" s="328"/>
      <c r="W927" s="328"/>
      <c r="X927" s="328"/>
      <c r="Y927" s="328">
        <f>IF(Y768="kWh",SUMPRODUCT(D770:D925,Y770:Y925))</f>
        <v>0</v>
      </c>
      <c r="Z927" s="328">
        <f>IF(Z768="kWh",SUMPRODUCT(D770:D925,Z770:Z925))</f>
        <v>54361.035799537145</v>
      </c>
      <c r="AA927" s="328">
        <f>IF(AA768="kw",SUMPRODUCT(N770:N925,O770:O925,AA770:AA925),SUMPRODUCT(D770:D925,AA770:AA925))</f>
        <v>195.56964640445423</v>
      </c>
      <c r="AB927" s="328">
        <f>IF(AB768="kw",SUMPRODUCT(N770:N925,O770:O925,AB770:AB925),SUMPRODUCT(D770:D925,AB770:AB925))</f>
        <v>153.80510756016818</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2:39" ht="15.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691161</v>
      </c>
      <c r="Z928" s="391">
        <f>HLOOKUP(Z584,'2. LRAMVA Threshold'!$B$42:$Q$53,11,FALSE)</f>
        <v>74889</v>
      </c>
      <c r="AA928" s="391">
        <f>HLOOKUP(AA584,'2. LRAMVA Threshold'!$B$42:$Q$53,11,FALSE)</f>
        <v>3272</v>
      </c>
      <c r="AB928" s="391">
        <f>HLOOKUP(AB584,'2. LRAMVA Threshold'!$B$42:$Q$53,11,FALSE)</f>
        <v>2873</v>
      </c>
      <c r="AC928" s="391">
        <f>HLOOKUP(AC584,'2. LRAMVA Threshold'!$B$42:$Q$53,11,FALSE)</f>
        <v>0</v>
      </c>
      <c r="AD928" s="391">
        <f>HLOOKUP(AD584,'2. LRAMVA Threshold'!$B$42:$Q$53,11,FALSE)</f>
        <v>0</v>
      </c>
      <c r="AE928" s="391">
        <f>HLOOKUP(AE584,'2. LRAMVA Threshold'!$B$42:$Q$53,11,FALSE)</f>
        <v>3777</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39"/>
    </row>
    <row r="929" spans="2:39" ht="15.5">
      <c r="B929" s="393"/>
      <c r="C929" s="429"/>
      <c r="D929" s="430"/>
      <c r="E929" s="430"/>
      <c r="F929" s="430"/>
      <c r="G929" s="430"/>
      <c r="H929" s="430"/>
      <c r="I929" s="430"/>
      <c r="J929" s="430"/>
      <c r="K929" s="430"/>
      <c r="L929" s="430"/>
      <c r="M929" s="430"/>
      <c r="N929" s="430"/>
      <c r="O929" s="431"/>
      <c r="P929" s="430"/>
      <c r="Q929" s="430"/>
      <c r="R929" s="430"/>
      <c r="S929" s="432"/>
      <c r="T929" s="432"/>
      <c r="U929" s="432"/>
      <c r="V929" s="432"/>
      <c r="W929" s="430"/>
      <c r="X929" s="430"/>
      <c r="Y929" s="433"/>
      <c r="Z929" s="433"/>
      <c r="AA929" s="433"/>
      <c r="AB929" s="433"/>
      <c r="AC929" s="433"/>
      <c r="AD929" s="433"/>
      <c r="AE929" s="433"/>
      <c r="AF929" s="398"/>
      <c r="AG929" s="398"/>
      <c r="AH929" s="398"/>
      <c r="AI929" s="398"/>
      <c r="AJ929" s="398"/>
      <c r="AK929" s="398"/>
      <c r="AL929" s="398"/>
      <c r="AM929" s="399"/>
    </row>
    <row r="930" spans="2:39" ht="15.5">
      <c r="B930" s="323" t="s">
        <v>330</v>
      </c>
      <c r="C930" s="337"/>
      <c r="D930" s="337"/>
      <c r="E930" s="375"/>
      <c r="F930" s="375"/>
      <c r="G930" s="375"/>
      <c r="H930" s="375"/>
      <c r="I930" s="375"/>
      <c r="J930" s="375"/>
      <c r="K930" s="375"/>
      <c r="L930" s="375"/>
      <c r="M930" s="375"/>
      <c r="N930" s="375"/>
      <c r="O930" s="291"/>
      <c r="P930" s="339"/>
      <c r="Q930" s="339"/>
      <c r="R930" s="339"/>
      <c r="S930" s="338"/>
      <c r="T930" s="338"/>
      <c r="U930" s="338"/>
      <c r="V930" s="338"/>
      <c r="W930" s="339"/>
      <c r="X930" s="339"/>
      <c r="Y930" s="340">
        <f>HLOOKUP(Y$35,'3.  Distribution Rates'!$C$122:$P$133,11,FALSE)</f>
        <v>0.0011000000000000001</v>
      </c>
      <c r="Z930" s="340">
        <f>HLOOKUP(Z$35,'3.  Distribution Rates'!$C$122:$P$133,11,FALSE)</f>
        <v>0.0103</v>
      </c>
      <c r="AA930" s="340">
        <f>HLOOKUP(AA$35,'3.  Distribution Rates'!$C$122:$P$133,11,FALSE)</f>
        <v>3.8965999999999998</v>
      </c>
      <c r="AB930" s="340">
        <f>HLOOKUP(AB$35,'3.  Distribution Rates'!$C$122:$P$133,11,FALSE)</f>
        <v>3.5051999999999999</v>
      </c>
      <c r="AC930" s="340">
        <f>HLOOKUP(AC$35,'3.  Distribution Rates'!$C$122:$P$133,11,FALSE)</f>
        <v>0.0054999999999999997</v>
      </c>
      <c r="AD930" s="340">
        <f>HLOOKUP(AD$35,'3.  Distribution Rates'!$C$122:$P$133,11,FALSE)</f>
        <v>36.264099999999999</v>
      </c>
      <c r="AE930" s="340">
        <f>HLOOKUP(AE$35,'3.  Distribution Rates'!$C$122:$P$133,11,FALSE)</f>
        <v>1.5678000000000001</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ht="15.5">
      <c r="B931" s="323" t="s">
        <v>331</v>
      </c>
      <c r="C931" s="344"/>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2">
        <f t="shared" si="1990" ref="AM931:AM939">SUM(Y931:AL931)</f>
        <v>0</v>
      </c>
    </row>
    <row r="932" spans="2:39" ht="15.5">
      <c r="B932" s="323" t="s">
        <v>332</v>
      </c>
      <c r="C932" s="344"/>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2">
        <f t="shared" si="1990"/>
        <v>0</v>
      </c>
    </row>
    <row r="933" spans="2:39" ht="15.5">
      <c r="B933" s="323" t="s">
        <v>333</v>
      </c>
      <c r="C933" s="344"/>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2">
        <f t="shared" si="1990"/>
        <v>0</v>
      </c>
    </row>
    <row r="934" spans="2:39" ht="15.5">
      <c r="B934" s="323" t="s">
        <v>334</v>
      </c>
      <c r="C934" s="344"/>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2">
        <f t="shared" si="1990"/>
        <v>0</v>
      </c>
    </row>
    <row r="935" spans="2:39" ht="15.5">
      <c r="B935" s="323" t="s">
        <v>335</v>
      </c>
      <c r="C935" s="344"/>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7">
        <f t="shared" si="1991" ref="Y935:AL935">Y211*Y930</f>
        <v>1330.3686</v>
      </c>
      <c r="Z935" s="377">
        <f t="shared" si="1991"/>
        <v>16034.048986077372</v>
      </c>
      <c r="AA935" s="377">
        <f t="shared" si="1991"/>
        <v>8438.4630995921016</v>
      </c>
      <c r="AB935" s="377">
        <f t="shared" si="1991"/>
        <v>7820.874368544045</v>
      </c>
      <c r="AC935" s="377">
        <f t="shared" si="1991"/>
        <v>0</v>
      </c>
      <c r="AD935" s="377">
        <f t="shared" si="1991"/>
        <v>0</v>
      </c>
      <c r="AE935" s="377">
        <f t="shared" si="1991"/>
        <v>595.37210016960046</v>
      </c>
      <c r="AF935" s="377">
        <f t="shared" si="1991"/>
        <v>0</v>
      </c>
      <c r="AG935" s="377">
        <f t="shared" si="1991"/>
        <v>0</v>
      </c>
      <c r="AH935" s="377">
        <f t="shared" si="1991"/>
        <v>0</v>
      </c>
      <c r="AI935" s="377">
        <f t="shared" si="1991"/>
        <v>0</v>
      </c>
      <c r="AJ935" s="377">
        <f t="shared" si="1991"/>
        <v>0</v>
      </c>
      <c r="AK935" s="377">
        <f t="shared" si="1991"/>
        <v>0</v>
      </c>
      <c r="AL935" s="377">
        <f t="shared" si="1991"/>
        <v>0</v>
      </c>
      <c r="AM935" s="622">
        <f t="shared" si="1990"/>
        <v>34219.127154383117</v>
      </c>
    </row>
    <row r="936" spans="2:39" ht="15.5">
      <c r="B936" s="323" t="s">
        <v>336</v>
      </c>
      <c r="C936" s="344"/>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7">
        <f t="shared" si="1992" ref="Y936:AL936">Y394*Y930</f>
        <v>2855.5120000000002</v>
      </c>
      <c r="Z936" s="377">
        <f t="shared" si="1992"/>
        <v>3165.3047705804925</v>
      </c>
      <c r="AA936" s="377">
        <f t="shared" si="1992"/>
        <v>212.08157197712367</v>
      </c>
      <c r="AB936" s="377">
        <f t="shared" si="1992"/>
        <v>958.17470524106329</v>
      </c>
      <c r="AC936" s="377">
        <f t="shared" si="1992"/>
        <v>0</v>
      </c>
      <c r="AD936" s="377">
        <f t="shared" si="1992"/>
        <v>0</v>
      </c>
      <c r="AE936" s="377">
        <f t="shared" si="1992"/>
        <v>5603.1947360064005</v>
      </c>
      <c r="AF936" s="377">
        <f t="shared" si="1992"/>
        <v>0</v>
      </c>
      <c r="AG936" s="377">
        <f t="shared" si="1992"/>
        <v>0</v>
      </c>
      <c r="AH936" s="377">
        <f t="shared" si="1992"/>
        <v>0</v>
      </c>
      <c r="AI936" s="377">
        <f t="shared" si="1992"/>
        <v>0</v>
      </c>
      <c r="AJ936" s="377">
        <f t="shared" si="1992"/>
        <v>0</v>
      </c>
      <c r="AK936" s="377">
        <f t="shared" si="1992"/>
        <v>0</v>
      </c>
      <c r="AL936" s="377">
        <f t="shared" si="1992"/>
        <v>0</v>
      </c>
      <c r="AM936" s="622">
        <f t="shared" si="1990"/>
        <v>12794.26778380508</v>
      </c>
    </row>
    <row r="937" spans="2:39" ht="15.5">
      <c r="B937" s="323" t="s">
        <v>337</v>
      </c>
      <c r="C937" s="344"/>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7">
        <f t="shared" si="1993" ref="Y937:AL937">Y577*Y930</f>
        <v>5262.3618759384317</v>
      </c>
      <c r="Z937" s="377">
        <f t="shared" si="1993"/>
        <v>12711.379762998913</v>
      </c>
      <c r="AA937" s="377">
        <f t="shared" si="1993"/>
        <v>11011.083751601342</v>
      </c>
      <c r="AB937" s="377">
        <f t="shared" si="1993"/>
        <v>7151.0626933634521</v>
      </c>
      <c r="AC937" s="377">
        <f t="shared" si="1993"/>
        <v>0</v>
      </c>
      <c r="AD937" s="377">
        <f t="shared" si="1993"/>
        <v>0</v>
      </c>
      <c r="AE937" s="377">
        <f t="shared" si="1993"/>
        <v>357.88366261440046</v>
      </c>
      <c r="AF937" s="377">
        <f t="shared" si="1993"/>
        <v>0</v>
      </c>
      <c r="AG937" s="377">
        <f t="shared" si="1993"/>
        <v>0</v>
      </c>
      <c r="AH937" s="377">
        <f t="shared" si="1993"/>
        <v>0</v>
      </c>
      <c r="AI937" s="377">
        <f t="shared" si="1993"/>
        <v>0</v>
      </c>
      <c r="AJ937" s="377">
        <f t="shared" si="1993"/>
        <v>0</v>
      </c>
      <c r="AK937" s="377">
        <f t="shared" si="1993"/>
        <v>0</v>
      </c>
      <c r="AL937" s="377">
        <f t="shared" si="1993"/>
        <v>0</v>
      </c>
      <c r="AM937" s="622">
        <f t="shared" si="1990"/>
        <v>36493.771746516548</v>
      </c>
    </row>
    <row r="938" spans="2:39" ht="15.5">
      <c r="B938" s="323" t="s">
        <v>338</v>
      </c>
      <c r="C938" s="344"/>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7">
        <f t="shared" si="1994" ref="Y938:AL938">Y760*Y930</f>
        <v>1626.5532471868457</v>
      </c>
      <c r="Z938" s="377">
        <f t="shared" si="1994"/>
        <v>3287.7862980874738</v>
      </c>
      <c r="AA938" s="377">
        <f t="shared" si="1994"/>
        <v>4727.9189381638307</v>
      </c>
      <c r="AB938" s="377">
        <f t="shared" si="1994"/>
        <v>3595.3700832953418</v>
      </c>
      <c r="AC938" s="377">
        <f t="shared" si="1994"/>
        <v>0</v>
      </c>
      <c r="AD938" s="377">
        <f t="shared" si="1994"/>
        <v>0</v>
      </c>
      <c r="AE938" s="377">
        <f t="shared" si="1994"/>
        <v>0</v>
      </c>
      <c r="AF938" s="377">
        <f t="shared" si="1994"/>
        <v>0</v>
      </c>
      <c r="AG938" s="377">
        <f t="shared" si="1994"/>
        <v>0</v>
      </c>
      <c r="AH938" s="377">
        <f t="shared" si="1994"/>
        <v>0</v>
      </c>
      <c r="AI938" s="377">
        <f t="shared" si="1994"/>
        <v>0</v>
      </c>
      <c r="AJ938" s="377">
        <f t="shared" si="1994"/>
        <v>0</v>
      </c>
      <c r="AK938" s="377">
        <f t="shared" si="1994"/>
        <v>0</v>
      </c>
      <c r="AL938" s="377">
        <f t="shared" si="1994"/>
        <v>0</v>
      </c>
      <c r="AM938" s="622">
        <f t="shared" si="1990"/>
        <v>13237.628566733492</v>
      </c>
    </row>
    <row r="939" spans="2:39" ht="15.5">
      <c r="B939" s="323" t="s">
        <v>339</v>
      </c>
      <c r="C939" s="344"/>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7">
        <f>Y927*Y930</f>
        <v>0</v>
      </c>
      <c r="Z939" s="377">
        <f t="shared" si="1995" ref="Z939:AL939">Z927*Z930</f>
        <v>559.91866873523259</v>
      </c>
      <c r="AA939" s="377">
        <f t="shared" si="1995"/>
        <v>762.05668417959635</v>
      </c>
      <c r="AB939" s="377">
        <f t="shared" si="1995"/>
        <v>539.11766301990144</v>
      </c>
      <c r="AC939" s="377">
        <f t="shared" si="1995"/>
        <v>0</v>
      </c>
      <c r="AD939" s="377">
        <f t="shared" si="1995"/>
        <v>0</v>
      </c>
      <c r="AE939" s="377">
        <f t="shared" si="1995"/>
        <v>0</v>
      </c>
      <c r="AF939" s="377">
        <f t="shared" si="1995"/>
        <v>0</v>
      </c>
      <c r="AG939" s="377">
        <f t="shared" si="1995"/>
        <v>0</v>
      </c>
      <c r="AH939" s="377">
        <f t="shared" si="1995"/>
        <v>0</v>
      </c>
      <c r="AI939" s="377">
        <f t="shared" si="1995"/>
        <v>0</v>
      </c>
      <c r="AJ939" s="377">
        <f t="shared" si="1995"/>
        <v>0</v>
      </c>
      <c r="AK939" s="377">
        <f t="shared" si="1995"/>
        <v>0</v>
      </c>
      <c r="AL939" s="377">
        <f t="shared" si="1995"/>
        <v>0</v>
      </c>
      <c r="AM939" s="622">
        <f t="shared" si="1990"/>
        <v>1861.0930159347304</v>
      </c>
    </row>
    <row r="940" spans="2:39" ht="15.5">
      <c r="B940" s="348" t="s">
        <v>343</v>
      </c>
      <c r="C940" s="344"/>
      <c r="D940" s="335"/>
      <c r="E940" s="333"/>
      <c r="F940" s="333"/>
      <c r="G940" s="333"/>
      <c r="H940" s="333"/>
      <c r="I940" s="333"/>
      <c r="J940" s="333"/>
      <c r="K940" s="333"/>
      <c r="L940" s="333"/>
      <c r="M940" s="333"/>
      <c r="N940" s="333"/>
      <c r="O940" s="300"/>
      <c r="P940" s="333"/>
      <c r="Q940" s="333"/>
      <c r="R940" s="333"/>
      <c r="S940" s="335"/>
      <c r="T940" s="335"/>
      <c r="U940" s="335"/>
      <c r="V940" s="335"/>
      <c r="W940" s="333"/>
      <c r="X940" s="333"/>
      <c r="Y940" s="345">
        <f>SUM(Y931:Y939)</f>
        <v>11074.795723125279</v>
      </c>
      <c r="Z940" s="345">
        <f t="shared" si="1996" ref="Z940:AE940">SUM(Z931:Z939)</f>
        <v>35758.438486479485</v>
      </c>
      <c r="AA940" s="345">
        <f t="shared" si="1996"/>
        <v>25151.604045513992</v>
      </c>
      <c r="AB940" s="345">
        <f t="shared" si="1996"/>
        <v>20064.599513463803</v>
      </c>
      <c r="AC940" s="345">
        <f t="shared" si="1996"/>
        <v>0</v>
      </c>
      <c r="AD940" s="345">
        <f t="shared" si="1996"/>
        <v>0</v>
      </c>
      <c r="AE940" s="345">
        <f t="shared" si="1996"/>
        <v>6556.4504987904011</v>
      </c>
      <c r="AF940" s="345">
        <f>SUM(AF931:AF939)</f>
        <v>0</v>
      </c>
      <c r="AG940" s="345">
        <f t="shared" si="1997" ref="AG940:AL940">SUM(AG931:AG939)</f>
        <v>0</v>
      </c>
      <c r="AH940" s="345">
        <f t="shared" si="1997"/>
        <v>0</v>
      </c>
      <c r="AI940" s="345">
        <f t="shared" si="1997"/>
        <v>0</v>
      </c>
      <c r="AJ940" s="345">
        <f t="shared" si="1997"/>
        <v>0</v>
      </c>
      <c r="AK940" s="345">
        <f t="shared" si="1997"/>
        <v>0</v>
      </c>
      <c r="AL940" s="345">
        <f t="shared" si="1997"/>
        <v>0</v>
      </c>
      <c r="AM940" s="406">
        <f>SUM(AM931:AM939)</f>
        <v>98605.888267372968</v>
      </c>
    </row>
    <row r="941" spans="2:39" ht="15.5">
      <c r="B941" s="348" t="s">
        <v>344</v>
      </c>
      <c r="C941" s="344"/>
      <c r="D941" s="349"/>
      <c r="E941" s="333"/>
      <c r="F941" s="333"/>
      <c r="G941" s="333"/>
      <c r="H941" s="333"/>
      <c r="I941" s="333"/>
      <c r="J941" s="333"/>
      <c r="K941" s="333"/>
      <c r="L941" s="333"/>
      <c r="M941" s="333"/>
      <c r="N941" s="333"/>
      <c r="O941" s="300"/>
      <c r="P941" s="333"/>
      <c r="Q941" s="333"/>
      <c r="R941" s="333"/>
      <c r="S941" s="335"/>
      <c r="T941" s="335"/>
      <c r="U941" s="335"/>
      <c r="V941" s="335"/>
      <c r="W941" s="333"/>
      <c r="X941" s="333"/>
      <c r="Y941" s="346">
        <f>Y928*Y930</f>
        <v>760.27710000000002</v>
      </c>
      <c r="Z941" s="346">
        <f t="shared" si="1998" ref="Z941:AE941">Z928*Z930</f>
        <v>771.35670000000005</v>
      </c>
      <c r="AA941" s="346">
        <f t="shared" si="1998"/>
        <v>12749.6752</v>
      </c>
      <c r="AB941" s="346">
        <f t="shared" si="1998"/>
        <v>10070.4396</v>
      </c>
      <c r="AC941" s="346">
        <f t="shared" si="1998"/>
        <v>0</v>
      </c>
      <c r="AD941" s="346">
        <f t="shared" si="1998"/>
        <v>0</v>
      </c>
      <c r="AE941" s="346">
        <f t="shared" si="1998"/>
        <v>5921.5806000000002</v>
      </c>
      <c r="AF941" s="346">
        <f>AF928*AF930</f>
        <v>0</v>
      </c>
      <c r="AG941" s="346">
        <f t="shared" si="1999" ref="AG941:AL941">AG928*AG930</f>
        <v>0</v>
      </c>
      <c r="AH941" s="346">
        <f t="shared" si="1999"/>
        <v>0</v>
      </c>
      <c r="AI941" s="346">
        <f t="shared" si="1999"/>
        <v>0</v>
      </c>
      <c r="AJ941" s="346">
        <f t="shared" si="1999"/>
        <v>0</v>
      </c>
      <c r="AK941" s="346">
        <f t="shared" si="1999"/>
        <v>0</v>
      </c>
      <c r="AL941" s="346">
        <f t="shared" si="1999"/>
        <v>0</v>
      </c>
      <c r="AM941" s="406">
        <f>SUM(Y941:AL941)</f>
        <v>30273.3292</v>
      </c>
    </row>
    <row r="942" spans="2:39" ht="15.5">
      <c r="B942" s="348" t="s">
        <v>345</v>
      </c>
      <c r="C942" s="344"/>
      <c r="D942" s="349"/>
      <c r="E942" s="333"/>
      <c r="F942" s="333"/>
      <c r="G942" s="333"/>
      <c r="H942" s="333"/>
      <c r="I942" s="333"/>
      <c r="J942" s="333"/>
      <c r="K942" s="333"/>
      <c r="L942" s="333"/>
      <c r="M942" s="333"/>
      <c r="N942" s="333"/>
      <c r="O942" s="300"/>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68332.55906737296</v>
      </c>
    </row>
    <row r="943" spans="2:39" ht="15.5">
      <c r="B943" s="323"/>
      <c r="C943" s="349"/>
      <c r="D943" s="349"/>
      <c r="E943" s="333"/>
      <c r="F943" s="333"/>
      <c r="G943" s="333"/>
      <c r="H943" s="333"/>
      <c r="I943" s="333"/>
      <c r="J943" s="333"/>
      <c r="K943" s="333"/>
      <c r="L943" s="333"/>
      <c r="M943" s="333"/>
      <c r="N943" s="333"/>
      <c r="O943" s="300"/>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t="15.5">
      <c r="B944" s="437"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54080.882598376971</v>
      </c>
      <c r="AA944" s="325">
        <f t="shared" si="2000" ref="AA944:AL944">IF(AA768="kw",SUMPRODUCT($N$770:$N$925,$P$770:$P$925,AA770:AA925),SUMPRODUCT($E$770:$E$925,AA770:AA925))</f>
        <v>193.75772171182967</v>
      </c>
      <c r="AB944" s="325">
        <f t="shared" si="2000"/>
        <v>152.38012532307963</v>
      </c>
      <c r="AC944" s="325">
        <f t="shared" si="2000"/>
        <v>0</v>
      </c>
      <c r="AD944" s="325">
        <f t="shared" si="2000"/>
        <v>0</v>
      </c>
      <c r="AE944" s="325">
        <f t="shared" si="2000"/>
        <v>0</v>
      </c>
      <c r="AF944" s="325">
        <f t="shared" si="2000"/>
        <v>0</v>
      </c>
      <c r="AG944" s="325">
        <f t="shared" si="2000"/>
        <v>0</v>
      </c>
      <c r="AH944" s="325">
        <f t="shared" si="2000"/>
        <v>0</v>
      </c>
      <c r="AI944" s="325">
        <f t="shared" si="2000"/>
        <v>0</v>
      </c>
      <c r="AJ944" s="325">
        <f t="shared" si="2000"/>
        <v>0</v>
      </c>
      <c r="AK944" s="325">
        <f t="shared" si="2000"/>
        <v>0</v>
      </c>
      <c r="AL944" s="325">
        <f t="shared" si="2000"/>
        <v>0</v>
      </c>
      <c r="AM944" s="385"/>
    </row>
    <row r="945" spans="2:39" ht="18.75" customHeight="1">
      <c r="B945" s="367" t="s">
        <v>586</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ht="14.5" collapsed="1"/>
    <row r="948" spans="2:38" ht="15.5">
      <c r="B948" s="280" t="s">
        <v>341</v>
      </c>
      <c r="C948" s="281"/>
      <c r="D948" s="583" t="s">
        <v>525</v>
      </c>
      <c r="E948" s="253"/>
      <c r="F948" s="583"/>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2:39" ht="39.75" customHeight="1">
      <c r="B949" s="902" t="s">
        <v>211</v>
      </c>
      <c r="C949" s="904" t="s">
        <v>33</v>
      </c>
      <c r="D949" s="284" t="s">
        <v>421</v>
      </c>
      <c r="E949" s="906" t="s">
        <v>209</v>
      </c>
      <c r="F949" s="907"/>
      <c r="G949" s="907"/>
      <c r="H949" s="907"/>
      <c r="I949" s="907"/>
      <c r="J949" s="907"/>
      <c r="K949" s="907"/>
      <c r="L949" s="907"/>
      <c r="M949" s="908"/>
      <c r="N949" s="909" t="s">
        <v>213</v>
      </c>
      <c r="O949" s="284" t="s">
        <v>422</v>
      </c>
      <c r="P949" s="906" t="s">
        <v>212</v>
      </c>
      <c r="Q949" s="907"/>
      <c r="R949" s="907"/>
      <c r="S949" s="907"/>
      <c r="T949" s="907"/>
      <c r="U949" s="907"/>
      <c r="V949" s="907"/>
      <c r="W949" s="907"/>
      <c r="X949" s="908"/>
      <c r="Y949" s="899" t="s">
        <v>243</v>
      </c>
      <c r="Z949" s="900"/>
      <c r="AA949" s="900"/>
      <c r="AB949" s="900"/>
      <c r="AC949" s="900"/>
      <c r="AD949" s="900"/>
      <c r="AE949" s="900"/>
      <c r="AF949" s="900"/>
      <c r="AG949" s="900"/>
      <c r="AH949" s="900"/>
      <c r="AI949" s="900"/>
      <c r="AJ949" s="900"/>
      <c r="AK949" s="900"/>
      <c r="AL949" s="900"/>
      <c r="AM949" s="901"/>
    </row>
    <row r="950" spans="2:39" ht="65.25" customHeight="1">
      <c r="B950" s="903"/>
      <c r="C950" s="905"/>
      <c r="D950" s="285">
        <v>2020</v>
      </c>
      <c r="E950" s="285">
        <v>2021</v>
      </c>
      <c r="F950" s="285">
        <v>2022</v>
      </c>
      <c r="G950" s="285">
        <v>2023</v>
      </c>
      <c r="H950" s="285">
        <v>2024</v>
      </c>
      <c r="I950" s="285">
        <v>2025</v>
      </c>
      <c r="J950" s="285">
        <v>2026</v>
      </c>
      <c r="K950" s="285">
        <v>2027</v>
      </c>
      <c r="L950" s="285">
        <v>2028</v>
      </c>
      <c r="M950" s="285">
        <v>2029</v>
      </c>
      <c r="N950" s="91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50 - 999 kW</v>
      </c>
      <c r="AB950" s="285" t="str">
        <f>'1.  LRAMVA Summary'!G52</f>
        <v>GS 1,000 - 4,999 kW</v>
      </c>
      <c r="AC950" s="285" t="str">
        <f>'1.  LRAMVA Summary'!H52</f>
        <v>USL</v>
      </c>
      <c r="AD950" s="285" t="str">
        <f>'1.  LRAMVA Summary'!I52</f>
        <v>Sentinel Lighting</v>
      </c>
      <c r="AE950" s="285" t="str">
        <f>'1.  LRAMVA Summary'!J52</f>
        <v>Street Lighting</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26"/>
      <c r="B951" s="512"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hidden="1" outlineLevel="1">
      <c r="A952" s="526"/>
      <c r="B952" s="498"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hidden="1" outlineLevel="1">
      <c r="A953" s="526">
        <v>1</v>
      </c>
      <c r="B953" s="425"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4"/>
      <c r="Z953" s="414"/>
      <c r="AA953" s="414"/>
      <c r="AB953" s="414"/>
      <c r="AC953" s="414"/>
      <c r="AD953" s="414"/>
      <c r="AE953" s="414"/>
      <c r="AF953" s="409"/>
      <c r="AG953" s="409"/>
      <c r="AH953" s="409"/>
      <c r="AI953" s="409"/>
      <c r="AJ953" s="409"/>
      <c r="AK953" s="409"/>
      <c r="AL953" s="409"/>
      <c r="AM953" s="296">
        <f>SUM(Y953:AL953)</f>
        <v>0</v>
      </c>
    </row>
    <row r="954" spans="1:39" ht="15" customHeight="1" hidden="1" outlineLevel="1">
      <c r="A954" s="526"/>
      <c r="B954" s="294" t="s">
        <v>346</v>
      </c>
      <c r="C954" s="291" t="s">
        <v>163</v>
      </c>
      <c r="D954" s="295"/>
      <c r="E954" s="295"/>
      <c r="F954" s="295"/>
      <c r="G954" s="295"/>
      <c r="H954" s="295"/>
      <c r="I954" s="295"/>
      <c r="J954" s="295"/>
      <c r="K954" s="295"/>
      <c r="L954" s="295"/>
      <c r="M954" s="295"/>
      <c r="N954" s="464"/>
      <c r="O954" s="295"/>
      <c r="P954" s="295"/>
      <c r="Q954" s="295"/>
      <c r="R954" s="295"/>
      <c r="S954" s="295"/>
      <c r="T954" s="295"/>
      <c r="U954" s="295"/>
      <c r="V954" s="295"/>
      <c r="W954" s="295"/>
      <c r="X954" s="295"/>
      <c r="Y954" s="410">
        <f>Y953</f>
        <v>0</v>
      </c>
      <c r="Z954" s="410">
        <f t="shared" si="2001" ref="Z954">Z953</f>
        <v>0</v>
      </c>
      <c r="AA954" s="410">
        <f t="shared" si="2002" ref="AA954">AA953</f>
        <v>0</v>
      </c>
      <c r="AB954" s="410">
        <f t="shared" si="2003" ref="AB954">AB953</f>
        <v>0</v>
      </c>
      <c r="AC954" s="410">
        <f t="shared" si="2004" ref="AC954">AC953</f>
        <v>0</v>
      </c>
      <c r="AD954" s="410">
        <f t="shared" si="2005" ref="AD954">AD953</f>
        <v>0</v>
      </c>
      <c r="AE954" s="410">
        <f t="shared" si="2006" ref="AE954">AE953</f>
        <v>0</v>
      </c>
      <c r="AF954" s="410">
        <f t="shared" si="2007" ref="AF954">AF953</f>
        <v>0</v>
      </c>
      <c r="AG954" s="410">
        <f t="shared" si="2008" ref="AG954">AG953</f>
        <v>0</v>
      </c>
      <c r="AH954" s="410">
        <f t="shared" si="2009" ref="AH954">AH953</f>
        <v>0</v>
      </c>
      <c r="AI954" s="410">
        <f t="shared" si="2010" ref="AI954">AI953</f>
        <v>0</v>
      </c>
      <c r="AJ954" s="410">
        <f t="shared" si="2011" ref="AJ954">AJ953</f>
        <v>0</v>
      </c>
      <c r="AK954" s="410">
        <f t="shared" si="2012" ref="AK954">AK953</f>
        <v>0</v>
      </c>
      <c r="AL954" s="410">
        <f t="shared" si="2013" ref="AL954">AL953</f>
        <v>0</v>
      </c>
      <c r="AM954" s="297"/>
    </row>
    <row r="955" spans="1:39" ht="15" customHeight="1" hidden="1" outlineLevel="1">
      <c r="A955" s="526"/>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1"/>
      <c r="Z955" s="412"/>
      <c r="AA955" s="412"/>
      <c r="AB955" s="412"/>
      <c r="AC955" s="412"/>
      <c r="AD955" s="412"/>
      <c r="AE955" s="412"/>
      <c r="AF955" s="412"/>
      <c r="AG955" s="412"/>
      <c r="AH955" s="412"/>
      <c r="AI955" s="412"/>
      <c r="AJ955" s="412"/>
      <c r="AK955" s="412"/>
      <c r="AL955" s="412"/>
      <c r="AM955" s="302"/>
    </row>
    <row r="956" spans="1:39" ht="15" customHeight="1" hidden="1" outlineLevel="1">
      <c r="A956" s="526">
        <v>2</v>
      </c>
      <c r="B956" s="425"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4"/>
      <c r="Z956" s="414"/>
      <c r="AA956" s="414"/>
      <c r="AB956" s="414"/>
      <c r="AC956" s="414"/>
      <c r="AD956" s="414"/>
      <c r="AE956" s="414"/>
      <c r="AF956" s="409"/>
      <c r="AG956" s="409"/>
      <c r="AH956" s="409"/>
      <c r="AI956" s="409"/>
      <c r="AJ956" s="409"/>
      <c r="AK956" s="409"/>
      <c r="AL956" s="409"/>
      <c r="AM956" s="296">
        <f>SUM(Y956:AL956)</f>
        <v>0</v>
      </c>
    </row>
    <row r="957" spans="1:39" ht="15" customHeight="1" hidden="1" outlineLevel="1">
      <c r="A957" s="526"/>
      <c r="B957" s="294" t="s">
        <v>346</v>
      </c>
      <c r="C957" s="291" t="s">
        <v>163</v>
      </c>
      <c r="D957" s="295"/>
      <c r="E957" s="295"/>
      <c r="F957" s="295"/>
      <c r="G957" s="295"/>
      <c r="H957" s="295"/>
      <c r="I957" s="295"/>
      <c r="J957" s="295"/>
      <c r="K957" s="295"/>
      <c r="L957" s="295"/>
      <c r="M957" s="295"/>
      <c r="N957" s="464"/>
      <c r="O957" s="295"/>
      <c r="P957" s="295"/>
      <c r="Q957" s="295"/>
      <c r="R957" s="295"/>
      <c r="S957" s="295"/>
      <c r="T957" s="295"/>
      <c r="U957" s="295"/>
      <c r="V957" s="295"/>
      <c r="W957" s="295"/>
      <c r="X957" s="295"/>
      <c r="Y957" s="410">
        <f>Y956</f>
        <v>0</v>
      </c>
      <c r="Z957" s="410">
        <f t="shared" si="2014" ref="Z957">Z956</f>
        <v>0</v>
      </c>
      <c r="AA957" s="410">
        <f t="shared" si="2015" ref="AA957">AA956</f>
        <v>0</v>
      </c>
      <c r="AB957" s="410">
        <f t="shared" si="2016" ref="AB957">AB956</f>
        <v>0</v>
      </c>
      <c r="AC957" s="410">
        <f t="shared" si="2017" ref="AC957">AC956</f>
        <v>0</v>
      </c>
      <c r="AD957" s="410">
        <f t="shared" si="2018" ref="AD957">AD956</f>
        <v>0</v>
      </c>
      <c r="AE957" s="410">
        <f t="shared" si="2019" ref="AE957">AE956</f>
        <v>0</v>
      </c>
      <c r="AF957" s="410">
        <f t="shared" si="2020" ref="AF957">AF956</f>
        <v>0</v>
      </c>
      <c r="AG957" s="410">
        <f t="shared" si="2021" ref="AG957">AG956</f>
        <v>0</v>
      </c>
      <c r="AH957" s="410">
        <f t="shared" si="2022" ref="AH957">AH956</f>
        <v>0</v>
      </c>
      <c r="AI957" s="410">
        <f t="shared" si="2023" ref="AI957">AI956</f>
        <v>0</v>
      </c>
      <c r="AJ957" s="410">
        <f t="shared" si="2024" ref="AJ957">AJ956</f>
        <v>0</v>
      </c>
      <c r="AK957" s="410">
        <f t="shared" si="2025" ref="AK957">AK956</f>
        <v>0</v>
      </c>
      <c r="AL957" s="410">
        <f t="shared" si="2026" ref="AL957">AL956</f>
        <v>0</v>
      </c>
      <c r="AM957" s="297"/>
    </row>
    <row r="958" spans="1:39" ht="15" customHeight="1" hidden="1" outlineLevel="1">
      <c r="A958" s="526"/>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1"/>
      <c r="Z958" s="412"/>
      <c r="AA958" s="412"/>
      <c r="AB958" s="412"/>
      <c r="AC958" s="412"/>
      <c r="AD958" s="412"/>
      <c r="AE958" s="412"/>
      <c r="AF958" s="412"/>
      <c r="AG958" s="412"/>
      <c r="AH958" s="412"/>
      <c r="AI958" s="412"/>
      <c r="AJ958" s="412"/>
      <c r="AK958" s="412"/>
      <c r="AL958" s="412"/>
      <c r="AM958" s="302"/>
    </row>
    <row r="959" spans="1:39" ht="15" customHeight="1" hidden="1" outlineLevel="1">
      <c r="A959" s="526">
        <v>3</v>
      </c>
      <c r="B959" s="425"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4"/>
      <c r="Z959" s="414"/>
      <c r="AA959" s="414"/>
      <c r="AB959" s="414"/>
      <c r="AC959" s="414"/>
      <c r="AD959" s="414"/>
      <c r="AE959" s="414"/>
      <c r="AF959" s="409"/>
      <c r="AG959" s="409"/>
      <c r="AH959" s="409"/>
      <c r="AI959" s="409"/>
      <c r="AJ959" s="409"/>
      <c r="AK959" s="409"/>
      <c r="AL959" s="409"/>
      <c r="AM959" s="296">
        <f>SUM(Y959:AL959)</f>
        <v>0</v>
      </c>
    </row>
    <row r="960" spans="1:39" ht="15" customHeight="1" hidden="1" outlineLevel="1">
      <c r="A960" s="526"/>
      <c r="B960" s="294" t="s">
        <v>346</v>
      </c>
      <c r="C960" s="291" t="s">
        <v>163</v>
      </c>
      <c r="D960" s="295"/>
      <c r="E960" s="295"/>
      <c r="F960" s="295"/>
      <c r="G960" s="295"/>
      <c r="H960" s="295"/>
      <c r="I960" s="295"/>
      <c r="J960" s="295"/>
      <c r="K960" s="295"/>
      <c r="L960" s="295"/>
      <c r="M960" s="295"/>
      <c r="N960" s="464"/>
      <c r="O960" s="295"/>
      <c r="P960" s="295"/>
      <c r="Q960" s="295"/>
      <c r="R960" s="295"/>
      <c r="S960" s="295"/>
      <c r="T960" s="295"/>
      <c r="U960" s="295"/>
      <c r="V960" s="295"/>
      <c r="W960" s="295"/>
      <c r="X960" s="295"/>
      <c r="Y960" s="410">
        <f>Y959</f>
        <v>0</v>
      </c>
      <c r="Z960" s="410">
        <f t="shared" si="2027" ref="Z960">Z959</f>
        <v>0</v>
      </c>
      <c r="AA960" s="410">
        <f t="shared" si="2028" ref="AA960">AA959</f>
        <v>0</v>
      </c>
      <c r="AB960" s="410">
        <f t="shared" si="2029" ref="AB960">AB959</f>
        <v>0</v>
      </c>
      <c r="AC960" s="410">
        <f t="shared" si="2030" ref="AC960">AC959</f>
        <v>0</v>
      </c>
      <c r="AD960" s="410">
        <f t="shared" si="2031" ref="AD960">AD959</f>
        <v>0</v>
      </c>
      <c r="AE960" s="410">
        <f t="shared" si="2032" ref="AE960">AE959</f>
        <v>0</v>
      </c>
      <c r="AF960" s="410">
        <f t="shared" si="2033" ref="AF960">AF959</f>
        <v>0</v>
      </c>
      <c r="AG960" s="410">
        <f t="shared" si="2034" ref="AG960">AG959</f>
        <v>0</v>
      </c>
      <c r="AH960" s="410">
        <f t="shared" si="2035" ref="AH960">AH959</f>
        <v>0</v>
      </c>
      <c r="AI960" s="410">
        <f t="shared" si="2036" ref="AI960">AI959</f>
        <v>0</v>
      </c>
      <c r="AJ960" s="410">
        <f t="shared" si="2037" ref="AJ960">AJ959</f>
        <v>0</v>
      </c>
      <c r="AK960" s="410">
        <f t="shared" si="2038" ref="AK960">AK959</f>
        <v>0</v>
      </c>
      <c r="AL960" s="410">
        <f t="shared" si="2039" ref="AL960">AL959</f>
        <v>0</v>
      </c>
      <c r="AM960" s="297"/>
    </row>
    <row r="961" spans="1:39" ht="15" customHeight="1" hidden="1" outlineLevel="1">
      <c r="A961" s="526"/>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1"/>
      <c r="Z961" s="411"/>
      <c r="AA961" s="411"/>
      <c r="AB961" s="411"/>
      <c r="AC961" s="411"/>
      <c r="AD961" s="411"/>
      <c r="AE961" s="411"/>
      <c r="AF961" s="411"/>
      <c r="AG961" s="411"/>
      <c r="AH961" s="411"/>
      <c r="AI961" s="411"/>
      <c r="AJ961" s="411"/>
      <c r="AK961" s="411"/>
      <c r="AL961" s="411"/>
      <c r="AM961" s="306"/>
    </row>
    <row r="962" spans="1:39" ht="15" customHeight="1" hidden="1" outlineLevel="1">
      <c r="A962" s="526">
        <v>4</v>
      </c>
      <c r="B962" s="514" t="s">
        <v>676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4"/>
      <c r="Z962" s="414"/>
      <c r="AA962" s="414"/>
      <c r="AB962" s="414"/>
      <c r="AC962" s="414"/>
      <c r="AD962" s="414"/>
      <c r="AE962" s="414"/>
      <c r="AF962" s="409"/>
      <c r="AG962" s="409"/>
      <c r="AH962" s="409"/>
      <c r="AI962" s="409"/>
      <c r="AJ962" s="409"/>
      <c r="AK962" s="409"/>
      <c r="AL962" s="409"/>
      <c r="AM962" s="296">
        <f>SUM(Y962:AL962)</f>
        <v>0</v>
      </c>
    </row>
    <row r="963" spans="1:39" ht="15" customHeight="1" hidden="1" outlineLevel="1">
      <c r="A963" s="526"/>
      <c r="B963" s="294" t="s">
        <v>346</v>
      </c>
      <c r="C963" s="291" t="s">
        <v>163</v>
      </c>
      <c r="D963" s="295"/>
      <c r="E963" s="295"/>
      <c r="F963" s="295"/>
      <c r="G963" s="295"/>
      <c r="H963" s="295"/>
      <c r="I963" s="295"/>
      <c r="J963" s="295"/>
      <c r="K963" s="295"/>
      <c r="L963" s="295"/>
      <c r="M963" s="295"/>
      <c r="N963" s="464"/>
      <c r="O963" s="295"/>
      <c r="P963" s="295"/>
      <c r="Q963" s="295"/>
      <c r="R963" s="295"/>
      <c r="S963" s="295"/>
      <c r="T963" s="295"/>
      <c r="U963" s="295"/>
      <c r="V963" s="295"/>
      <c r="W963" s="295"/>
      <c r="X963" s="295"/>
      <c r="Y963" s="410">
        <f>Y962</f>
        <v>0</v>
      </c>
      <c r="Z963" s="410">
        <f t="shared" si="2040" ref="Z963">Z962</f>
        <v>0</v>
      </c>
      <c r="AA963" s="410">
        <f t="shared" si="2041" ref="AA963">AA962</f>
        <v>0</v>
      </c>
      <c r="AB963" s="410">
        <f t="shared" si="2042" ref="AB963">AB962</f>
        <v>0</v>
      </c>
      <c r="AC963" s="410">
        <f t="shared" si="2043" ref="AC963">AC962</f>
        <v>0</v>
      </c>
      <c r="AD963" s="410">
        <f t="shared" si="2044" ref="AD963">AD962</f>
        <v>0</v>
      </c>
      <c r="AE963" s="410">
        <f t="shared" si="2045" ref="AE963">AE962</f>
        <v>0</v>
      </c>
      <c r="AF963" s="410">
        <f t="shared" si="2046" ref="AF963">AF962</f>
        <v>0</v>
      </c>
      <c r="AG963" s="410">
        <f t="shared" si="2047" ref="AG963">AG962</f>
        <v>0</v>
      </c>
      <c r="AH963" s="410">
        <f t="shared" si="2048" ref="AH963">AH962</f>
        <v>0</v>
      </c>
      <c r="AI963" s="410">
        <f t="shared" si="2049" ref="AI963">AI962</f>
        <v>0</v>
      </c>
      <c r="AJ963" s="410">
        <f t="shared" si="2050" ref="AJ963">AJ962</f>
        <v>0</v>
      </c>
      <c r="AK963" s="410">
        <f t="shared" si="2051" ref="AK963">AK962</f>
        <v>0</v>
      </c>
      <c r="AL963" s="410">
        <f t="shared" si="2052" ref="AL963">AL962</f>
        <v>0</v>
      </c>
      <c r="AM963" s="297"/>
    </row>
    <row r="964" spans="1:39" ht="15" customHeight="1" hidden="1" outlineLevel="1">
      <c r="A964" s="526"/>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1"/>
      <c r="Z964" s="411"/>
      <c r="AA964" s="411"/>
      <c r="AB964" s="411"/>
      <c r="AC964" s="411"/>
      <c r="AD964" s="411"/>
      <c r="AE964" s="411"/>
      <c r="AF964" s="411"/>
      <c r="AG964" s="411"/>
      <c r="AH964" s="411"/>
      <c r="AI964" s="411"/>
      <c r="AJ964" s="411"/>
      <c r="AK964" s="411"/>
      <c r="AL964" s="411"/>
      <c r="AM964" s="306"/>
    </row>
    <row r="965" spans="1:39" ht="15" customHeight="1" hidden="1" outlineLevel="1">
      <c r="A965" s="526">
        <v>5</v>
      </c>
      <c r="B965" s="425"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4"/>
      <c r="Z965" s="414"/>
      <c r="AA965" s="414"/>
      <c r="AB965" s="414"/>
      <c r="AC965" s="414"/>
      <c r="AD965" s="414"/>
      <c r="AE965" s="414"/>
      <c r="AF965" s="409"/>
      <c r="AG965" s="409"/>
      <c r="AH965" s="409"/>
      <c r="AI965" s="409"/>
      <c r="AJ965" s="409"/>
      <c r="AK965" s="409"/>
      <c r="AL965" s="409"/>
      <c r="AM965" s="296">
        <f>SUM(Y965:AL965)</f>
        <v>0</v>
      </c>
    </row>
    <row r="966" spans="1:39" ht="15" customHeight="1" hidden="1" outlineLevel="1">
      <c r="A966" s="526"/>
      <c r="B966" s="294" t="s">
        <v>346</v>
      </c>
      <c r="C966" s="291" t="s">
        <v>163</v>
      </c>
      <c r="D966" s="295"/>
      <c r="E966" s="295"/>
      <c r="F966" s="295"/>
      <c r="G966" s="295"/>
      <c r="H966" s="295"/>
      <c r="I966" s="295"/>
      <c r="J966" s="295"/>
      <c r="K966" s="295"/>
      <c r="L966" s="295"/>
      <c r="M966" s="295"/>
      <c r="N966" s="464"/>
      <c r="O966" s="295"/>
      <c r="P966" s="295"/>
      <c r="Q966" s="295"/>
      <c r="R966" s="295"/>
      <c r="S966" s="295"/>
      <c r="T966" s="295"/>
      <c r="U966" s="295"/>
      <c r="V966" s="295"/>
      <c r="W966" s="295"/>
      <c r="X966" s="295"/>
      <c r="Y966" s="410">
        <f>Y965</f>
        <v>0</v>
      </c>
      <c r="Z966" s="410">
        <f t="shared" si="2053" ref="Z966">Z965</f>
        <v>0</v>
      </c>
      <c r="AA966" s="410">
        <f t="shared" si="2054" ref="AA966">AA965</f>
        <v>0</v>
      </c>
      <c r="AB966" s="410">
        <f t="shared" si="2055" ref="AB966">AB965</f>
        <v>0</v>
      </c>
      <c r="AC966" s="410">
        <f t="shared" si="2056" ref="AC966">AC965</f>
        <v>0</v>
      </c>
      <c r="AD966" s="410">
        <f t="shared" si="2057" ref="AD966">AD965</f>
        <v>0</v>
      </c>
      <c r="AE966" s="410">
        <f t="shared" si="2058" ref="AE966">AE965</f>
        <v>0</v>
      </c>
      <c r="AF966" s="410">
        <f t="shared" si="2059" ref="AF966">AF965</f>
        <v>0</v>
      </c>
      <c r="AG966" s="410">
        <f t="shared" si="2060" ref="AG966">AG965</f>
        <v>0</v>
      </c>
      <c r="AH966" s="410">
        <f t="shared" si="2061" ref="AH966">AH965</f>
        <v>0</v>
      </c>
      <c r="AI966" s="410">
        <f t="shared" si="2062" ref="AI966">AI965</f>
        <v>0</v>
      </c>
      <c r="AJ966" s="410">
        <f t="shared" si="2063" ref="AJ966">AJ965</f>
        <v>0</v>
      </c>
      <c r="AK966" s="410">
        <f t="shared" si="2064" ref="AK966">AK965</f>
        <v>0</v>
      </c>
      <c r="AL966" s="410">
        <f t="shared" si="2065" ref="AL966">AL965</f>
        <v>0</v>
      </c>
      <c r="AM966" s="297"/>
    </row>
    <row r="967" spans="1:39" ht="15" customHeight="1" hidden="1" outlineLevel="1">
      <c r="A967" s="526"/>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19"/>
      <c r="Z967" s="420"/>
      <c r="AA967" s="420"/>
      <c r="AB967" s="420"/>
      <c r="AC967" s="420"/>
      <c r="AD967" s="420"/>
      <c r="AE967" s="420"/>
      <c r="AF967" s="420"/>
      <c r="AG967" s="420"/>
      <c r="AH967" s="420"/>
      <c r="AI967" s="420"/>
      <c r="AJ967" s="420"/>
      <c r="AK967" s="420"/>
      <c r="AL967" s="420"/>
      <c r="AM967" s="297"/>
    </row>
    <row r="968" spans="1:39" ht="15.5" hidden="1" outlineLevel="1">
      <c r="A968" s="526"/>
      <c r="B968" s="318"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3"/>
      <c r="Z968" s="413"/>
      <c r="AA968" s="413"/>
      <c r="AB968" s="413"/>
      <c r="AC968" s="413"/>
      <c r="AD968" s="413"/>
      <c r="AE968" s="413"/>
      <c r="AF968" s="413"/>
      <c r="AG968" s="413"/>
      <c r="AH968" s="413"/>
      <c r="AI968" s="413"/>
      <c r="AJ968" s="413"/>
      <c r="AK968" s="413"/>
      <c r="AL968" s="413"/>
      <c r="AM968" s="292"/>
    </row>
    <row r="969" spans="1:39" ht="15" customHeight="1" hidden="1" outlineLevel="1">
      <c r="A969" s="526">
        <v>6</v>
      </c>
      <c r="B969" s="425"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4"/>
      <c r="Z969" s="414"/>
      <c r="AA969" s="414"/>
      <c r="AB969" s="414"/>
      <c r="AC969" s="414"/>
      <c r="AD969" s="414"/>
      <c r="AE969" s="414"/>
      <c r="AF969" s="414"/>
      <c r="AG969" s="414"/>
      <c r="AH969" s="414"/>
      <c r="AI969" s="414"/>
      <c r="AJ969" s="414"/>
      <c r="AK969" s="414"/>
      <c r="AL969" s="414"/>
      <c r="AM969" s="296">
        <f>SUM(Y969:AL969)</f>
        <v>0</v>
      </c>
    </row>
    <row r="970" spans="1:39" ht="15" customHeight="1" hidden="1" outlineLevel="1">
      <c r="A970" s="526"/>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0">
        <f>Y969</f>
        <v>0</v>
      </c>
      <c r="Z970" s="410">
        <f t="shared" si="2066" ref="Z970">Z969</f>
        <v>0</v>
      </c>
      <c r="AA970" s="410">
        <f t="shared" si="2067" ref="AA970">AA969</f>
        <v>0</v>
      </c>
      <c r="AB970" s="410">
        <f t="shared" si="2068" ref="AB970">AB969</f>
        <v>0</v>
      </c>
      <c r="AC970" s="410">
        <f t="shared" si="2069" ref="AC970">AC969</f>
        <v>0</v>
      </c>
      <c r="AD970" s="410">
        <f t="shared" si="2070" ref="AD970">AD969</f>
        <v>0</v>
      </c>
      <c r="AE970" s="410">
        <f t="shared" si="2071" ref="AE970">AE969</f>
        <v>0</v>
      </c>
      <c r="AF970" s="410">
        <f t="shared" si="2072" ref="AF970">AF969</f>
        <v>0</v>
      </c>
      <c r="AG970" s="410">
        <f t="shared" si="2073" ref="AG970">AG969</f>
        <v>0</v>
      </c>
      <c r="AH970" s="410">
        <f t="shared" si="2074" ref="AH970">AH969</f>
        <v>0</v>
      </c>
      <c r="AI970" s="410">
        <f t="shared" si="2075" ref="AI970">AI969</f>
        <v>0</v>
      </c>
      <c r="AJ970" s="410">
        <f t="shared" si="2076" ref="AJ970">AJ969</f>
        <v>0</v>
      </c>
      <c r="AK970" s="410">
        <f t="shared" si="2077" ref="AK970">AK969</f>
        <v>0</v>
      </c>
      <c r="AL970" s="410">
        <f t="shared" si="2078" ref="AL970">AL969</f>
        <v>0</v>
      </c>
      <c r="AM970" s="311"/>
    </row>
    <row r="971" spans="1:39" ht="15" customHeight="1" hidden="1" outlineLevel="1">
      <c r="A971" s="526"/>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5"/>
      <c r="Z971" s="415"/>
      <c r="AA971" s="415"/>
      <c r="AB971" s="415"/>
      <c r="AC971" s="415"/>
      <c r="AD971" s="415"/>
      <c r="AE971" s="415"/>
      <c r="AF971" s="415"/>
      <c r="AG971" s="415"/>
      <c r="AH971" s="415"/>
      <c r="AI971" s="415"/>
      <c r="AJ971" s="415"/>
      <c r="AK971" s="415"/>
      <c r="AL971" s="415"/>
      <c r="AM971" s="313"/>
    </row>
    <row r="972" spans="1:39" ht="15" customHeight="1" hidden="1" outlineLevel="1">
      <c r="A972" s="526">
        <v>7</v>
      </c>
      <c r="B972" s="425"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4"/>
      <c r="Z972" s="414"/>
      <c r="AA972" s="414"/>
      <c r="AB972" s="414"/>
      <c r="AC972" s="414"/>
      <c r="AD972" s="414"/>
      <c r="AE972" s="414"/>
      <c r="AF972" s="414"/>
      <c r="AG972" s="414"/>
      <c r="AH972" s="414"/>
      <c r="AI972" s="414"/>
      <c r="AJ972" s="414"/>
      <c r="AK972" s="414"/>
      <c r="AL972" s="414"/>
      <c r="AM972" s="296">
        <f>SUM(Y972:AL972)</f>
        <v>0</v>
      </c>
    </row>
    <row r="973" spans="1:39" ht="15" customHeight="1" hidden="1" outlineLevel="1">
      <c r="A973" s="526"/>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0">
        <f>Y972</f>
        <v>0</v>
      </c>
      <c r="Z973" s="410">
        <f t="shared" si="2079" ref="Z973">Z972</f>
        <v>0</v>
      </c>
      <c r="AA973" s="410">
        <f t="shared" si="2080" ref="AA973">AA972</f>
        <v>0</v>
      </c>
      <c r="AB973" s="410">
        <f t="shared" si="2081" ref="AB973">AB972</f>
        <v>0</v>
      </c>
      <c r="AC973" s="410">
        <f t="shared" si="2082" ref="AC973">AC972</f>
        <v>0</v>
      </c>
      <c r="AD973" s="410">
        <f t="shared" si="2083" ref="AD973">AD972</f>
        <v>0</v>
      </c>
      <c r="AE973" s="410">
        <f t="shared" si="2084" ref="AE973">AE972</f>
        <v>0</v>
      </c>
      <c r="AF973" s="410">
        <f t="shared" si="2085" ref="AF973">AF972</f>
        <v>0</v>
      </c>
      <c r="AG973" s="410">
        <f t="shared" si="2086" ref="AG973">AG972</f>
        <v>0</v>
      </c>
      <c r="AH973" s="410">
        <f t="shared" si="2087" ref="AH973">AH972</f>
        <v>0</v>
      </c>
      <c r="AI973" s="410">
        <f t="shared" si="2088" ref="AI973">AI972</f>
        <v>0</v>
      </c>
      <c r="AJ973" s="410">
        <f t="shared" si="2089" ref="AJ973">AJ972</f>
        <v>0</v>
      </c>
      <c r="AK973" s="410">
        <f t="shared" si="2090" ref="AK973">AK972</f>
        <v>0</v>
      </c>
      <c r="AL973" s="410">
        <f t="shared" si="2091" ref="AL973">AL972</f>
        <v>0</v>
      </c>
      <c r="AM973" s="311"/>
    </row>
    <row r="974" spans="1:39" ht="15" customHeight="1" hidden="1" outlineLevel="1">
      <c r="A974" s="526"/>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5"/>
      <c r="Z974" s="416"/>
      <c r="AA974" s="415"/>
      <c r="AB974" s="415"/>
      <c r="AC974" s="415"/>
      <c r="AD974" s="415"/>
      <c r="AE974" s="415"/>
      <c r="AF974" s="415"/>
      <c r="AG974" s="415"/>
      <c r="AH974" s="415"/>
      <c r="AI974" s="415"/>
      <c r="AJ974" s="415"/>
      <c r="AK974" s="415"/>
      <c r="AL974" s="415"/>
      <c r="AM974" s="313"/>
    </row>
    <row r="975" spans="1:39" ht="15" customHeight="1" hidden="1" outlineLevel="1">
      <c r="A975" s="526">
        <v>8</v>
      </c>
      <c r="B975" s="425"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4"/>
      <c r="Z975" s="414"/>
      <c r="AA975" s="414"/>
      <c r="AB975" s="414"/>
      <c r="AC975" s="414"/>
      <c r="AD975" s="414"/>
      <c r="AE975" s="414"/>
      <c r="AF975" s="414"/>
      <c r="AG975" s="414"/>
      <c r="AH975" s="414"/>
      <c r="AI975" s="414"/>
      <c r="AJ975" s="414"/>
      <c r="AK975" s="414"/>
      <c r="AL975" s="414"/>
      <c r="AM975" s="296">
        <f>SUM(Y975:AL975)</f>
        <v>0</v>
      </c>
    </row>
    <row r="976" spans="1:39" ht="15" customHeight="1" hidden="1" outlineLevel="1">
      <c r="A976" s="526"/>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0">
        <f>Y975</f>
        <v>0</v>
      </c>
      <c r="Z976" s="410">
        <f t="shared" si="2092" ref="Z976">Z975</f>
        <v>0</v>
      </c>
      <c r="AA976" s="410">
        <f t="shared" si="2093" ref="AA976">AA975</f>
        <v>0</v>
      </c>
      <c r="AB976" s="410">
        <f t="shared" si="2094" ref="AB976">AB975</f>
        <v>0</v>
      </c>
      <c r="AC976" s="410">
        <f t="shared" si="2095" ref="AC976">AC975</f>
        <v>0</v>
      </c>
      <c r="AD976" s="410">
        <f t="shared" si="2096" ref="AD976">AD975</f>
        <v>0</v>
      </c>
      <c r="AE976" s="410">
        <f t="shared" si="2097" ref="AE976">AE975</f>
        <v>0</v>
      </c>
      <c r="AF976" s="410">
        <f t="shared" si="2098" ref="AF976">AF975</f>
        <v>0</v>
      </c>
      <c r="AG976" s="410">
        <f t="shared" si="2099" ref="AG976">AG975</f>
        <v>0</v>
      </c>
      <c r="AH976" s="410">
        <f t="shared" si="2100" ref="AH976">AH975</f>
        <v>0</v>
      </c>
      <c r="AI976" s="410">
        <f t="shared" si="2101" ref="AI976">AI975</f>
        <v>0</v>
      </c>
      <c r="AJ976" s="410">
        <f t="shared" si="2102" ref="AJ976">AJ975</f>
        <v>0</v>
      </c>
      <c r="AK976" s="410">
        <f t="shared" si="2103" ref="AK976">AK975</f>
        <v>0</v>
      </c>
      <c r="AL976" s="410">
        <f t="shared" si="2104" ref="AL976">AL975</f>
        <v>0</v>
      </c>
      <c r="AM976" s="311"/>
    </row>
    <row r="977" spans="1:39" ht="15" customHeight="1" hidden="1" outlineLevel="1">
      <c r="A977" s="526"/>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5"/>
      <c r="Z977" s="416"/>
      <c r="AA977" s="415"/>
      <c r="AB977" s="415"/>
      <c r="AC977" s="415"/>
      <c r="AD977" s="415"/>
      <c r="AE977" s="415"/>
      <c r="AF977" s="415"/>
      <c r="AG977" s="415"/>
      <c r="AH977" s="415"/>
      <c r="AI977" s="415"/>
      <c r="AJ977" s="415"/>
      <c r="AK977" s="415"/>
      <c r="AL977" s="415"/>
      <c r="AM977" s="313"/>
    </row>
    <row r="978" spans="1:39" ht="15" customHeight="1" hidden="1" outlineLevel="1">
      <c r="A978" s="526">
        <v>9</v>
      </c>
      <c r="B978" s="425"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4"/>
      <c r="Z978" s="414"/>
      <c r="AA978" s="414"/>
      <c r="AB978" s="414"/>
      <c r="AC978" s="414"/>
      <c r="AD978" s="414"/>
      <c r="AE978" s="414"/>
      <c r="AF978" s="414"/>
      <c r="AG978" s="414"/>
      <c r="AH978" s="414"/>
      <c r="AI978" s="414"/>
      <c r="AJ978" s="414"/>
      <c r="AK978" s="414"/>
      <c r="AL978" s="414"/>
      <c r="AM978" s="296">
        <f>SUM(Y978:AL978)</f>
        <v>0</v>
      </c>
    </row>
    <row r="979" spans="1:39" ht="15" customHeight="1" hidden="1" outlineLevel="1">
      <c r="A979" s="526"/>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0">
        <f>Y978</f>
        <v>0</v>
      </c>
      <c r="Z979" s="410">
        <f t="shared" si="2105" ref="Z979">Z978</f>
        <v>0</v>
      </c>
      <c r="AA979" s="410">
        <f t="shared" si="2106" ref="AA979">AA978</f>
        <v>0</v>
      </c>
      <c r="AB979" s="410">
        <f t="shared" si="2107" ref="AB979">AB978</f>
        <v>0</v>
      </c>
      <c r="AC979" s="410">
        <f t="shared" si="2108" ref="AC979">AC978</f>
        <v>0</v>
      </c>
      <c r="AD979" s="410">
        <f t="shared" si="2109" ref="AD979">AD978</f>
        <v>0</v>
      </c>
      <c r="AE979" s="410">
        <f t="shared" si="2110" ref="AE979">AE978</f>
        <v>0</v>
      </c>
      <c r="AF979" s="410">
        <f t="shared" si="2111" ref="AF979">AF978</f>
        <v>0</v>
      </c>
      <c r="AG979" s="410">
        <f t="shared" si="2112" ref="AG979">AG978</f>
        <v>0</v>
      </c>
      <c r="AH979" s="410">
        <f t="shared" si="2113" ref="AH979">AH978</f>
        <v>0</v>
      </c>
      <c r="AI979" s="410">
        <f t="shared" si="2114" ref="AI979">AI978</f>
        <v>0</v>
      </c>
      <c r="AJ979" s="410">
        <f t="shared" si="2115" ref="AJ979">AJ978</f>
        <v>0</v>
      </c>
      <c r="AK979" s="410">
        <f t="shared" si="2116" ref="AK979">AK978</f>
        <v>0</v>
      </c>
      <c r="AL979" s="410">
        <f t="shared" si="2117" ref="AL979">AL978</f>
        <v>0</v>
      </c>
      <c r="AM979" s="311"/>
    </row>
    <row r="980" spans="1:39" ht="15" customHeight="1" hidden="1" outlineLevel="1">
      <c r="A980" s="526"/>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5"/>
      <c r="Z980" s="415"/>
      <c r="AA980" s="415"/>
      <c r="AB980" s="415"/>
      <c r="AC980" s="415"/>
      <c r="AD980" s="415"/>
      <c r="AE980" s="415"/>
      <c r="AF980" s="415"/>
      <c r="AG980" s="415"/>
      <c r="AH980" s="415"/>
      <c r="AI980" s="415"/>
      <c r="AJ980" s="415"/>
      <c r="AK980" s="415"/>
      <c r="AL980" s="415"/>
      <c r="AM980" s="313"/>
    </row>
    <row r="981" spans="1:39" ht="15" customHeight="1" hidden="1" outlineLevel="1">
      <c r="A981" s="526">
        <v>10</v>
      </c>
      <c r="B981" s="425"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4"/>
      <c r="Z981" s="414"/>
      <c r="AA981" s="414"/>
      <c r="AB981" s="414"/>
      <c r="AC981" s="414"/>
      <c r="AD981" s="414"/>
      <c r="AE981" s="414"/>
      <c r="AF981" s="414"/>
      <c r="AG981" s="414"/>
      <c r="AH981" s="414"/>
      <c r="AI981" s="414"/>
      <c r="AJ981" s="414"/>
      <c r="AK981" s="414"/>
      <c r="AL981" s="414"/>
      <c r="AM981" s="296">
        <f>SUM(Y981:AL981)</f>
        <v>0</v>
      </c>
    </row>
    <row r="982" spans="1:39" ht="15" customHeight="1" hidden="1" outlineLevel="1">
      <c r="A982" s="526"/>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0">
        <f>Y981</f>
        <v>0</v>
      </c>
      <c r="Z982" s="410">
        <f t="shared" si="2118" ref="Z982">Z981</f>
        <v>0</v>
      </c>
      <c r="AA982" s="410">
        <f t="shared" si="2119" ref="AA982">AA981</f>
        <v>0</v>
      </c>
      <c r="AB982" s="410">
        <f t="shared" si="2120" ref="AB982">AB981</f>
        <v>0</v>
      </c>
      <c r="AC982" s="410">
        <f t="shared" si="2121" ref="AC982">AC981</f>
        <v>0</v>
      </c>
      <c r="AD982" s="410">
        <f t="shared" si="2122" ref="AD982">AD981</f>
        <v>0</v>
      </c>
      <c r="AE982" s="410">
        <f t="shared" si="2123" ref="AE982">AE981</f>
        <v>0</v>
      </c>
      <c r="AF982" s="410">
        <f t="shared" si="2124" ref="AF982">AF981</f>
        <v>0</v>
      </c>
      <c r="AG982" s="410">
        <f t="shared" si="2125" ref="AG982">AG981</f>
        <v>0</v>
      </c>
      <c r="AH982" s="410">
        <f t="shared" si="2126" ref="AH982">AH981</f>
        <v>0</v>
      </c>
      <c r="AI982" s="410">
        <f t="shared" si="2127" ref="AI982">AI981</f>
        <v>0</v>
      </c>
      <c r="AJ982" s="410">
        <f t="shared" si="2128" ref="AJ982">AJ981</f>
        <v>0</v>
      </c>
      <c r="AK982" s="410">
        <f t="shared" si="2129" ref="AK982">AK981</f>
        <v>0</v>
      </c>
      <c r="AL982" s="410">
        <f t="shared" si="2130" ref="AL982">AL981</f>
        <v>0</v>
      </c>
      <c r="AM982" s="311"/>
    </row>
    <row r="983" spans="1:39" ht="15" customHeight="1" hidden="1" outlineLevel="1">
      <c r="A983" s="526"/>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5"/>
      <c r="Z983" s="416"/>
      <c r="AA983" s="415"/>
      <c r="AB983" s="415"/>
      <c r="AC983" s="415"/>
      <c r="AD983" s="415"/>
      <c r="AE983" s="415"/>
      <c r="AF983" s="415"/>
      <c r="AG983" s="415"/>
      <c r="AH983" s="415"/>
      <c r="AI983" s="415"/>
      <c r="AJ983" s="415"/>
      <c r="AK983" s="415"/>
      <c r="AL983" s="415"/>
      <c r="AM983" s="313"/>
    </row>
    <row r="984" spans="1:39" ht="15" customHeight="1" hidden="1" outlineLevel="1">
      <c r="A984" s="526"/>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3"/>
      <c r="Z984" s="413"/>
      <c r="AA984" s="413"/>
      <c r="AB984" s="413"/>
      <c r="AC984" s="413"/>
      <c r="AD984" s="413"/>
      <c r="AE984" s="413"/>
      <c r="AF984" s="413"/>
      <c r="AG984" s="413"/>
      <c r="AH984" s="413"/>
      <c r="AI984" s="413"/>
      <c r="AJ984" s="413"/>
      <c r="AK984" s="413"/>
      <c r="AL984" s="413"/>
      <c r="AM984" s="292"/>
    </row>
    <row r="985" spans="1:39" ht="15" customHeight="1" hidden="1" outlineLevel="1">
      <c r="A985" s="526">
        <v>11</v>
      </c>
      <c r="B985" s="425"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3"/>
      <c r="Z985" s="414"/>
      <c r="AA985" s="414"/>
      <c r="AB985" s="414"/>
      <c r="AC985" s="414"/>
      <c r="AD985" s="414"/>
      <c r="AE985" s="414"/>
      <c r="AF985" s="414"/>
      <c r="AG985" s="414"/>
      <c r="AH985" s="414"/>
      <c r="AI985" s="414"/>
      <c r="AJ985" s="414"/>
      <c r="AK985" s="414"/>
      <c r="AL985" s="414"/>
      <c r="AM985" s="296">
        <f>SUM(Y985:AL985)</f>
        <v>0</v>
      </c>
    </row>
    <row r="986" spans="1:39" ht="15" customHeight="1" hidden="1" outlineLevel="1">
      <c r="A986" s="526"/>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0">
        <f>Y985</f>
        <v>0</v>
      </c>
      <c r="Z986" s="410">
        <f t="shared" si="2131" ref="Z986">Z985</f>
        <v>0</v>
      </c>
      <c r="AA986" s="410">
        <f t="shared" si="2132" ref="AA986">AA985</f>
        <v>0</v>
      </c>
      <c r="AB986" s="410">
        <f t="shared" si="2133" ref="AB986">AB985</f>
        <v>0</v>
      </c>
      <c r="AC986" s="410">
        <f t="shared" si="2134" ref="AC986">AC985</f>
        <v>0</v>
      </c>
      <c r="AD986" s="410">
        <f t="shared" si="2135" ref="AD986">AD985</f>
        <v>0</v>
      </c>
      <c r="AE986" s="410">
        <f t="shared" si="2136" ref="AE986">AE985</f>
        <v>0</v>
      </c>
      <c r="AF986" s="410">
        <f t="shared" si="2137" ref="AF986">AF985</f>
        <v>0</v>
      </c>
      <c r="AG986" s="410">
        <f t="shared" si="2138" ref="AG986">AG985</f>
        <v>0</v>
      </c>
      <c r="AH986" s="410">
        <f t="shared" si="2139" ref="AH986">AH985</f>
        <v>0</v>
      </c>
      <c r="AI986" s="410">
        <f t="shared" si="2140" ref="AI986">AI985</f>
        <v>0</v>
      </c>
      <c r="AJ986" s="410">
        <f t="shared" si="2141" ref="AJ986">AJ985</f>
        <v>0</v>
      </c>
      <c r="AK986" s="410">
        <f t="shared" si="2142" ref="AK986">AK985</f>
        <v>0</v>
      </c>
      <c r="AL986" s="410">
        <f t="shared" si="2143" ref="AL986">AL985</f>
        <v>0</v>
      </c>
      <c r="AM986" s="297"/>
    </row>
    <row r="987" spans="1:39" ht="15" customHeight="1" hidden="1" outlineLevel="1">
      <c r="A987" s="526"/>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1"/>
      <c r="Z987" s="418"/>
      <c r="AA987" s="418"/>
      <c r="AB987" s="418"/>
      <c r="AC987" s="418"/>
      <c r="AD987" s="418"/>
      <c r="AE987" s="418"/>
      <c r="AF987" s="418"/>
      <c r="AG987" s="418"/>
      <c r="AH987" s="418"/>
      <c r="AI987" s="418"/>
      <c r="AJ987" s="418"/>
      <c r="AK987" s="418"/>
      <c r="AL987" s="418"/>
      <c r="AM987" s="306"/>
    </row>
    <row r="988" spans="1:39" ht="28.5" customHeight="1" hidden="1" outlineLevel="1">
      <c r="A988" s="526">
        <v>12</v>
      </c>
      <c r="B988" s="425"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09"/>
      <c r="Z988" s="414"/>
      <c r="AA988" s="414"/>
      <c r="AB988" s="414"/>
      <c r="AC988" s="414"/>
      <c r="AD988" s="414"/>
      <c r="AE988" s="414"/>
      <c r="AF988" s="414"/>
      <c r="AG988" s="414"/>
      <c r="AH988" s="414"/>
      <c r="AI988" s="414"/>
      <c r="AJ988" s="414"/>
      <c r="AK988" s="414"/>
      <c r="AL988" s="414"/>
      <c r="AM988" s="296">
        <f>SUM(Y988:AL988)</f>
        <v>0</v>
      </c>
    </row>
    <row r="989" spans="1:39" ht="15" customHeight="1" hidden="1" outlineLevel="1">
      <c r="A989" s="526"/>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0">
        <f>Y988</f>
        <v>0</v>
      </c>
      <c r="Z989" s="410">
        <f t="shared" si="2144" ref="Z989">Z988</f>
        <v>0</v>
      </c>
      <c r="AA989" s="410">
        <f t="shared" si="2145" ref="AA989">AA988</f>
        <v>0</v>
      </c>
      <c r="AB989" s="410">
        <f t="shared" si="2146" ref="AB989">AB988</f>
        <v>0</v>
      </c>
      <c r="AC989" s="410">
        <f t="shared" si="2147" ref="AC989">AC988</f>
        <v>0</v>
      </c>
      <c r="AD989" s="410">
        <f t="shared" si="2148" ref="AD989">AD988</f>
        <v>0</v>
      </c>
      <c r="AE989" s="410">
        <f t="shared" si="2149" ref="AE989">AE988</f>
        <v>0</v>
      </c>
      <c r="AF989" s="410">
        <f t="shared" si="2150" ref="AF989">AF988</f>
        <v>0</v>
      </c>
      <c r="AG989" s="410">
        <f t="shared" si="2151" ref="AG989">AG988</f>
        <v>0</v>
      </c>
      <c r="AH989" s="410">
        <f t="shared" si="2152" ref="AH989">AH988</f>
        <v>0</v>
      </c>
      <c r="AI989" s="410">
        <f t="shared" si="2153" ref="AI989">AI988</f>
        <v>0</v>
      </c>
      <c r="AJ989" s="410">
        <f t="shared" si="2154" ref="AJ989">AJ988</f>
        <v>0</v>
      </c>
      <c r="AK989" s="410">
        <f t="shared" si="2155" ref="AK989">AK988</f>
        <v>0</v>
      </c>
      <c r="AL989" s="410">
        <f t="shared" si="2156" ref="AL989">AL988</f>
        <v>0</v>
      </c>
      <c r="AM989" s="297"/>
    </row>
    <row r="990" spans="1:39" ht="15" customHeight="1" hidden="1" outlineLevel="1">
      <c r="A990" s="526"/>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9"/>
      <c r="Z990" s="419"/>
      <c r="AA990" s="411"/>
      <c r="AB990" s="411"/>
      <c r="AC990" s="411"/>
      <c r="AD990" s="411"/>
      <c r="AE990" s="411"/>
      <c r="AF990" s="411"/>
      <c r="AG990" s="411"/>
      <c r="AH990" s="411"/>
      <c r="AI990" s="411"/>
      <c r="AJ990" s="411"/>
      <c r="AK990" s="411"/>
      <c r="AL990" s="411"/>
      <c r="AM990" s="306"/>
    </row>
    <row r="991" spans="1:39" ht="15" customHeight="1" hidden="1" outlineLevel="1">
      <c r="A991" s="526">
        <v>13</v>
      </c>
      <c r="B991" s="425"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09"/>
      <c r="Z991" s="414"/>
      <c r="AA991" s="414"/>
      <c r="AB991" s="414"/>
      <c r="AC991" s="414"/>
      <c r="AD991" s="414"/>
      <c r="AE991" s="414"/>
      <c r="AF991" s="414"/>
      <c r="AG991" s="414"/>
      <c r="AH991" s="414"/>
      <c r="AI991" s="414"/>
      <c r="AJ991" s="414"/>
      <c r="AK991" s="414"/>
      <c r="AL991" s="414"/>
      <c r="AM991" s="296">
        <f>SUM(Y991:AL991)</f>
        <v>0</v>
      </c>
    </row>
    <row r="992" spans="1:39" ht="15" customHeight="1" hidden="1" outlineLevel="1">
      <c r="A992" s="526"/>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0">
        <f>Y991</f>
        <v>0</v>
      </c>
      <c r="Z992" s="410">
        <f t="shared" si="2157" ref="Z992">Z991</f>
        <v>0</v>
      </c>
      <c r="AA992" s="410">
        <f t="shared" si="2158" ref="AA992">AA991</f>
        <v>0</v>
      </c>
      <c r="AB992" s="410">
        <f t="shared" si="2159" ref="AB992">AB991</f>
        <v>0</v>
      </c>
      <c r="AC992" s="410">
        <f t="shared" si="2160" ref="AC992">AC991</f>
        <v>0</v>
      </c>
      <c r="AD992" s="410">
        <f t="shared" si="2161" ref="AD992">AD991</f>
        <v>0</v>
      </c>
      <c r="AE992" s="410">
        <f t="shared" si="2162" ref="AE992">AE991</f>
        <v>0</v>
      </c>
      <c r="AF992" s="410">
        <f t="shared" si="2163" ref="AF992">AF991</f>
        <v>0</v>
      </c>
      <c r="AG992" s="410">
        <f t="shared" si="2164" ref="AG992">AG991</f>
        <v>0</v>
      </c>
      <c r="AH992" s="410">
        <f t="shared" si="2165" ref="AH992">AH991</f>
        <v>0</v>
      </c>
      <c r="AI992" s="410">
        <f t="shared" si="2166" ref="AI992">AI991</f>
        <v>0</v>
      </c>
      <c r="AJ992" s="410">
        <f t="shared" si="2167" ref="AJ992">AJ991</f>
        <v>0</v>
      </c>
      <c r="AK992" s="410">
        <f t="shared" si="2168" ref="AK992">AK991</f>
        <v>0</v>
      </c>
      <c r="AL992" s="410">
        <f t="shared" si="2169" ref="AL992">AL991</f>
        <v>0</v>
      </c>
      <c r="AM992" s="306"/>
    </row>
    <row r="993" spans="1:39" ht="15" customHeight="1" hidden="1" outlineLevel="1">
      <c r="A993" s="526"/>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1"/>
      <c r="Z993" s="411"/>
      <c r="AA993" s="411"/>
      <c r="AB993" s="411"/>
      <c r="AC993" s="411"/>
      <c r="AD993" s="411"/>
      <c r="AE993" s="411"/>
      <c r="AF993" s="411"/>
      <c r="AG993" s="411"/>
      <c r="AH993" s="411"/>
      <c r="AI993" s="411"/>
      <c r="AJ993" s="411"/>
      <c r="AK993" s="411"/>
      <c r="AL993" s="411"/>
      <c r="AM993" s="306"/>
    </row>
    <row r="994" spans="1:39" ht="15" customHeight="1" hidden="1" outlineLevel="1">
      <c r="A994" s="526"/>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3"/>
      <c r="Z994" s="413"/>
      <c r="AA994" s="413"/>
      <c r="AB994" s="413"/>
      <c r="AC994" s="413"/>
      <c r="AD994" s="413"/>
      <c r="AE994" s="413"/>
      <c r="AF994" s="413"/>
      <c r="AG994" s="413"/>
      <c r="AH994" s="413"/>
      <c r="AI994" s="413"/>
      <c r="AJ994" s="413"/>
      <c r="AK994" s="413"/>
      <c r="AL994" s="413"/>
      <c r="AM994" s="292"/>
    </row>
    <row r="995" spans="1:39" ht="15" customHeight="1" hidden="1" outlineLevel="1">
      <c r="A995" s="526">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09"/>
      <c r="Z995" s="409"/>
      <c r="AA995" s="409"/>
      <c r="AB995" s="409"/>
      <c r="AC995" s="409"/>
      <c r="AD995" s="409"/>
      <c r="AE995" s="409"/>
      <c r="AF995" s="409"/>
      <c r="AG995" s="409"/>
      <c r="AH995" s="409"/>
      <c r="AI995" s="409"/>
      <c r="AJ995" s="409"/>
      <c r="AK995" s="409"/>
      <c r="AL995" s="409"/>
      <c r="AM995" s="296">
        <f>SUM(Y995:AL995)</f>
        <v>0</v>
      </c>
    </row>
    <row r="996" spans="1:39" ht="15" customHeight="1" hidden="1" outlineLevel="1">
      <c r="A996" s="526"/>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0">
        <f>Y995</f>
        <v>0</v>
      </c>
      <c r="Z996" s="410">
        <f t="shared" si="2170" ref="Z996">Z995</f>
        <v>0</v>
      </c>
      <c r="AA996" s="410">
        <f t="shared" si="2171" ref="AA996">AA995</f>
        <v>0</v>
      </c>
      <c r="AB996" s="410">
        <f t="shared" si="2172" ref="AB996">AB995</f>
        <v>0</v>
      </c>
      <c r="AC996" s="410">
        <f t="shared" si="2173" ref="AC996">AC995</f>
        <v>0</v>
      </c>
      <c r="AD996" s="410">
        <f t="shared" si="2174" ref="AD996">AD995</f>
        <v>0</v>
      </c>
      <c r="AE996" s="410">
        <f t="shared" si="2175" ref="AE996">AE995</f>
        <v>0</v>
      </c>
      <c r="AF996" s="410">
        <f t="shared" si="2176" ref="AF996">AF995</f>
        <v>0</v>
      </c>
      <c r="AG996" s="410">
        <f t="shared" si="2177" ref="AG996">AG995</f>
        <v>0</v>
      </c>
      <c r="AH996" s="410">
        <f t="shared" si="2178" ref="AH996">AH995</f>
        <v>0</v>
      </c>
      <c r="AI996" s="410">
        <f t="shared" si="2179" ref="AI996">AI995</f>
        <v>0</v>
      </c>
      <c r="AJ996" s="410">
        <f t="shared" si="2180" ref="AJ996">AJ995</f>
        <v>0</v>
      </c>
      <c r="AK996" s="410">
        <f t="shared" si="2181" ref="AK996">AK995</f>
        <v>0</v>
      </c>
      <c r="AL996" s="410">
        <f t="shared" si="2182" ref="AL996">AL995</f>
        <v>0</v>
      </c>
      <c r="AM996" s="297"/>
    </row>
    <row r="997" spans="1:40" ht="15" customHeight="1" hidden="1" outlineLevel="1">
      <c r="A997" s="526"/>
      <c r="B997" s="315"/>
      <c r="C997" s="305"/>
      <c r="D997" s="291"/>
      <c r="E997" s="291"/>
      <c r="F997" s="291"/>
      <c r="G997" s="291"/>
      <c r="H997" s="291"/>
      <c r="I997" s="291"/>
      <c r="J997" s="291"/>
      <c r="K997" s="291"/>
      <c r="L997" s="291"/>
      <c r="M997" s="291"/>
      <c r="N997" s="464"/>
      <c r="O997" s="291"/>
      <c r="P997" s="291"/>
      <c r="Q997" s="291"/>
      <c r="R997" s="291"/>
      <c r="S997" s="291"/>
      <c r="T997" s="291"/>
      <c r="U997" s="291"/>
      <c r="V997" s="291"/>
      <c r="W997" s="291"/>
      <c r="X997" s="291"/>
      <c r="Y997" s="411"/>
      <c r="Z997" s="411"/>
      <c r="AA997" s="411"/>
      <c r="AB997" s="411"/>
      <c r="AC997" s="411"/>
      <c r="AD997" s="411"/>
      <c r="AE997" s="411"/>
      <c r="AF997" s="411"/>
      <c r="AG997" s="411"/>
      <c r="AH997" s="411"/>
      <c r="AI997" s="411"/>
      <c r="AJ997" s="411"/>
      <c r="AK997" s="411"/>
      <c r="AL997" s="411"/>
      <c r="AM997" s="301"/>
      <c r="AN997" s="623"/>
    </row>
    <row r="998" spans="1:40" s="309" customFormat="1" ht="15.5" hidden="1" outlineLevel="1">
      <c r="A998" s="526"/>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1"/>
      <c r="Z998" s="411"/>
      <c r="AA998" s="411"/>
      <c r="AB998" s="411"/>
      <c r="AC998" s="411"/>
      <c r="AD998" s="411"/>
      <c r="AE998" s="415"/>
      <c r="AF998" s="415"/>
      <c r="AG998" s="415"/>
      <c r="AH998" s="415"/>
      <c r="AI998" s="415"/>
      <c r="AJ998" s="415"/>
      <c r="AK998" s="415"/>
      <c r="AL998" s="415"/>
      <c r="AM998" s="511"/>
      <c r="AN998" s="624"/>
    </row>
    <row r="999" spans="1:40" ht="15.5" hidden="1" outlineLevel="1">
      <c r="A999" s="526">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09"/>
      <c r="Z999" s="409"/>
      <c r="AA999" s="409"/>
      <c r="AB999" s="409"/>
      <c r="AC999" s="409"/>
      <c r="AD999" s="409"/>
      <c r="AE999" s="409"/>
      <c r="AF999" s="409"/>
      <c r="AG999" s="409"/>
      <c r="AH999" s="409"/>
      <c r="AI999" s="409"/>
      <c r="AJ999" s="409"/>
      <c r="AK999" s="409"/>
      <c r="AL999" s="409"/>
      <c r="AM999" s="625">
        <f>SUM(Y999:AL999)</f>
        <v>0</v>
      </c>
      <c r="AN999" s="623"/>
    </row>
    <row r="1000" spans="1:39" ht="15.5" hidden="1" outlineLevel="1">
      <c r="A1000" s="526"/>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0">
        <f>Y999</f>
        <v>0</v>
      </c>
      <c r="Z1000" s="410">
        <f>Z999</f>
        <v>0</v>
      </c>
      <c r="AA1000" s="410">
        <f t="shared" si="2183" ref="AA1000:AL1000">AA999</f>
        <v>0</v>
      </c>
      <c r="AB1000" s="410">
        <f t="shared" si="2183"/>
        <v>0</v>
      </c>
      <c r="AC1000" s="410">
        <f t="shared" si="2183"/>
        <v>0</v>
      </c>
      <c r="AD1000" s="410">
        <f>AD999</f>
        <v>0</v>
      </c>
      <c r="AE1000" s="410">
        <f t="shared" si="2183"/>
        <v>0</v>
      </c>
      <c r="AF1000" s="410">
        <f t="shared" si="2183"/>
        <v>0</v>
      </c>
      <c r="AG1000" s="410">
        <f t="shared" si="2183"/>
        <v>0</v>
      </c>
      <c r="AH1000" s="410">
        <f t="shared" si="2183"/>
        <v>0</v>
      </c>
      <c r="AI1000" s="410">
        <f t="shared" si="2183"/>
        <v>0</v>
      </c>
      <c r="AJ1000" s="410">
        <f t="shared" si="2183"/>
        <v>0</v>
      </c>
      <c r="AK1000" s="410">
        <f t="shared" si="2183"/>
        <v>0</v>
      </c>
      <c r="AL1000" s="410">
        <f t="shared" si="2183"/>
        <v>0</v>
      </c>
      <c r="AM1000" s="297"/>
    </row>
    <row r="1001" spans="1:39" ht="15.5" hidden="1" outlineLevel="1">
      <c r="A1001" s="526"/>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1"/>
      <c r="Z1001" s="411"/>
      <c r="AA1001" s="411"/>
      <c r="AB1001" s="411"/>
      <c r="AC1001" s="411"/>
      <c r="AD1001" s="411"/>
      <c r="AE1001" s="411"/>
      <c r="AF1001" s="411"/>
      <c r="AG1001" s="411"/>
      <c r="AH1001" s="411"/>
      <c r="AI1001" s="411"/>
      <c r="AJ1001" s="411"/>
      <c r="AK1001" s="411"/>
      <c r="AL1001" s="411"/>
      <c r="AM1001" s="306"/>
    </row>
    <row r="1002" spans="1:39" s="283" customFormat="1" ht="15.5" hidden="1" outlineLevel="1">
      <c r="A1002" s="526">
        <v>16</v>
      </c>
      <c r="B1002" s="323"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09"/>
      <c r="Z1002" s="409"/>
      <c r="AA1002" s="409"/>
      <c r="AB1002" s="409"/>
      <c r="AC1002" s="409"/>
      <c r="AD1002" s="409"/>
      <c r="AE1002" s="409"/>
      <c r="AF1002" s="409"/>
      <c r="AG1002" s="409"/>
      <c r="AH1002" s="409"/>
      <c r="AI1002" s="409"/>
      <c r="AJ1002" s="409"/>
      <c r="AK1002" s="409"/>
      <c r="AL1002" s="409"/>
      <c r="AM1002" s="296">
        <f>SUM(Y1002:AL1002)</f>
        <v>0</v>
      </c>
    </row>
    <row r="1003" spans="1:39" s="283" customFormat="1" ht="15.5" hidden="1" outlineLevel="1">
      <c r="A1003" s="526"/>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0">
        <f>Y1002</f>
        <v>0</v>
      </c>
      <c r="Z1003" s="410">
        <f t="shared" si="2184" ref="Z1003:AK1003">Z1002</f>
        <v>0</v>
      </c>
      <c r="AA1003" s="410">
        <f t="shared" si="2184"/>
        <v>0</v>
      </c>
      <c r="AB1003" s="410">
        <f t="shared" si="2184"/>
        <v>0</v>
      </c>
      <c r="AC1003" s="410">
        <f t="shared" si="2184"/>
        <v>0</v>
      </c>
      <c r="AD1003" s="410">
        <f t="shared" si="2184"/>
        <v>0</v>
      </c>
      <c r="AE1003" s="410">
        <f t="shared" si="2184"/>
        <v>0</v>
      </c>
      <c r="AF1003" s="410">
        <f t="shared" si="2184"/>
        <v>0</v>
      </c>
      <c r="AG1003" s="410">
        <f t="shared" si="2184"/>
        <v>0</v>
      </c>
      <c r="AH1003" s="410">
        <f t="shared" si="2184"/>
        <v>0</v>
      </c>
      <c r="AI1003" s="410">
        <f t="shared" si="2184"/>
        <v>0</v>
      </c>
      <c r="AJ1003" s="410">
        <f t="shared" si="2184"/>
        <v>0</v>
      </c>
      <c r="AK1003" s="410">
        <f t="shared" si="2184"/>
        <v>0</v>
      </c>
      <c r="AL1003" s="410">
        <f>AL1002</f>
        <v>0</v>
      </c>
      <c r="AM1003" s="297"/>
    </row>
    <row r="1004" spans="1:39" s="283" customFormat="1" ht="15.5" hidden="1" outlineLevel="1">
      <c r="A1004" s="526"/>
      <c r="B1004" s="323"/>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1"/>
      <c r="Z1004" s="411"/>
      <c r="AA1004" s="411"/>
      <c r="AB1004" s="411"/>
      <c r="AC1004" s="411"/>
      <c r="AD1004" s="411"/>
      <c r="AE1004" s="415"/>
      <c r="AF1004" s="415"/>
      <c r="AG1004" s="415"/>
      <c r="AH1004" s="415"/>
      <c r="AI1004" s="415"/>
      <c r="AJ1004" s="415"/>
      <c r="AK1004" s="415"/>
      <c r="AL1004" s="415"/>
      <c r="AM1004" s="313"/>
    </row>
    <row r="1005" spans="1:39" ht="15.5" hidden="1" outlineLevel="1">
      <c r="A1005" s="526"/>
      <c r="B1005" s="513" t="s">
        <v>495</v>
      </c>
      <c r="C1005" s="319"/>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3"/>
      <c r="Z1005" s="413"/>
      <c r="AA1005" s="413"/>
      <c r="AB1005" s="413"/>
      <c r="AC1005" s="413"/>
      <c r="AD1005" s="413"/>
      <c r="AE1005" s="413"/>
      <c r="AF1005" s="413"/>
      <c r="AG1005" s="413"/>
      <c r="AH1005" s="413"/>
      <c r="AI1005" s="413"/>
      <c r="AJ1005" s="413"/>
      <c r="AK1005" s="413"/>
      <c r="AL1005" s="413"/>
      <c r="AM1005" s="292"/>
    </row>
    <row r="1006" spans="1:39" ht="15.5" hidden="1" outlineLevel="1">
      <c r="A1006" s="526">
        <v>17</v>
      </c>
      <c r="B1006" s="425"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3"/>
      <c r="Z1006" s="409"/>
      <c r="AA1006" s="409"/>
      <c r="AB1006" s="409"/>
      <c r="AC1006" s="409"/>
      <c r="AD1006" s="409"/>
      <c r="AE1006" s="409"/>
      <c r="AF1006" s="414"/>
      <c r="AG1006" s="414"/>
      <c r="AH1006" s="414"/>
      <c r="AI1006" s="414"/>
      <c r="AJ1006" s="414"/>
      <c r="AK1006" s="414"/>
      <c r="AL1006" s="414"/>
      <c r="AM1006" s="296">
        <f>SUM(Y1006:AL1006)</f>
        <v>0</v>
      </c>
    </row>
    <row r="1007" spans="1:39" ht="15.5" hidden="1" outlineLevel="1">
      <c r="A1007" s="526"/>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0">
        <f>Y1006</f>
        <v>0</v>
      </c>
      <c r="Z1007" s="410">
        <f t="shared" si="2185" ref="Z1007:AL1007">Z1006</f>
        <v>0</v>
      </c>
      <c r="AA1007" s="410">
        <f t="shared" si="2185"/>
        <v>0</v>
      </c>
      <c r="AB1007" s="410">
        <f t="shared" si="2185"/>
        <v>0</v>
      </c>
      <c r="AC1007" s="410">
        <f t="shared" si="2185"/>
        <v>0</v>
      </c>
      <c r="AD1007" s="410">
        <f t="shared" si="2185"/>
        <v>0</v>
      </c>
      <c r="AE1007" s="410">
        <f t="shared" si="2185"/>
        <v>0</v>
      </c>
      <c r="AF1007" s="410">
        <f t="shared" si="2185"/>
        <v>0</v>
      </c>
      <c r="AG1007" s="410">
        <f t="shared" si="2185"/>
        <v>0</v>
      </c>
      <c r="AH1007" s="410">
        <f t="shared" si="2185"/>
        <v>0</v>
      </c>
      <c r="AI1007" s="410">
        <f t="shared" si="2185"/>
        <v>0</v>
      </c>
      <c r="AJ1007" s="410">
        <f t="shared" si="2185"/>
        <v>0</v>
      </c>
      <c r="AK1007" s="410">
        <f t="shared" si="2185"/>
        <v>0</v>
      </c>
      <c r="AL1007" s="410">
        <f t="shared" si="2185"/>
        <v>0</v>
      </c>
      <c r="AM1007" s="306"/>
    </row>
    <row r="1008" spans="1:39" ht="15.5" hidden="1" outlineLevel="1">
      <c r="A1008" s="526"/>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9"/>
      <c r="Z1008" s="422"/>
      <c r="AA1008" s="422"/>
      <c r="AB1008" s="422"/>
      <c r="AC1008" s="422"/>
      <c r="AD1008" s="422"/>
      <c r="AE1008" s="422"/>
      <c r="AF1008" s="422"/>
      <c r="AG1008" s="422"/>
      <c r="AH1008" s="422"/>
      <c r="AI1008" s="422"/>
      <c r="AJ1008" s="422"/>
      <c r="AK1008" s="422"/>
      <c r="AL1008" s="422"/>
      <c r="AM1008" s="306"/>
    </row>
    <row r="1009" spans="1:39" ht="15.5" hidden="1" outlineLevel="1">
      <c r="A1009" s="526">
        <v>18</v>
      </c>
      <c r="B1009" s="425"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3"/>
      <c r="Z1009" s="409"/>
      <c r="AA1009" s="409"/>
      <c r="AB1009" s="409"/>
      <c r="AC1009" s="409"/>
      <c r="AD1009" s="409"/>
      <c r="AE1009" s="409"/>
      <c r="AF1009" s="414"/>
      <c r="AG1009" s="414"/>
      <c r="AH1009" s="414"/>
      <c r="AI1009" s="414"/>
      <c r="AJ1009" s="414"/>
      <c r="AK1009" s="414"/>
      <c r="AL1009" s="414"/>
      <c r="AM1009" s="296">
        <f>SUM(Y1009:AL1009)</f>
        <v>0</v>
      </c>
    </row>
    <row r="1010" spans="1:39" ht="15.5" hidden="1" outlineLevel="1">
      <c r="A1010" s="526"/>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0">
        <f>Y1009</f>
        <v>0</v>
      </c>
      <c r="Z1010" s="410">
        <f t="shared" si="2186" ref="Z1010:AL1010">Z1009</f>
        <v>0</v>
      </c>
      <c r="AA1010" s="410">
        <f t="shared" si="2186"/>
        <v>0</v>
      </c>
      <c r="AB1010" s="410">
        <f t="shared" si="2186"/>
        <v>0</v>
      </c>
      <c r="AC1010" s="410">
        <f t="shared" si="2186"/>
        <v>0</v>
      </c>
      <c r="AD1010" s="410">
        <f t="shared" si="2186"/>
        <v>0</v>
      </c>
      <c r="AE1010" s="410">
        <f t="shared" si="2186"/>
        <v>0</v>
      </c>
      <c r="AF1010" s="410">
        <f t="shared" si="2186"/>
        <v>0</v>
      </c>
      <c r="AG1010" s="410">
        <f t="shared" si="2186"/>
        <v>0</v>
      </c>
      <c r="AH1010" s="410">
        <f t="shared" si="2186"/>
        <v>0</v>
      </c>
      <c r="AI1010" s="410">
        <f t="shared" si="2186"/>
        <v>0</v>
      </c>
      <c r="AJ1010" s="410">
        <f t="shared" si="2186"/>
        <v>0</v>
      </c>
      <c r="AK1010" s="410">
        <f t="shared" si="2186"/>
        <v>0</v>
      </c>
      <c r="AL1010" s="410">
        <f t="shared" si="2186"/>
        <v>0</v>
      </c>
      <c r="AM1010" s="306"/>
    </row>
    <row r="1011" spans="1:39" ht="15.5" hidden="1" outlineLevel="1">
      <c r="A1011" s="526"/>
      <c r="B1011" s="321"/>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0"/>
      <c r="Z1011" s="421"/>
      <c r="AA1011" s="421"/>
      <c r="AB1011" s="421"/>
      <c r="AC1011" s="421"/>
      <c r="AD1011" s="421"/>
      <c r="AE1011" s="421"/>
      <c r="AF1011" s="421"/>
      <c r="AG1011" s="421"/>
      <c r="AH1011" s="421"/>
      <c r="AI1011" s="421"/>
      <c r="AJ1011" s="421"/>
      <c r="AK1011" s="421"/>
      <c r="AL1011" s="421"/>
      <c r="AM1011" s="297"/>
    </row>
    <row r="1012" spans="1:39" ht="15.5" hidden="1" outlineLevel="1">
      <c r="A1012" s="526">
        <v>19</v>
      </c>
      <c r="B1012" s="425"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3"/>
      <c r="Z1012" s="409"/>
      <c r="AA1012" s="409"/>
      <c r="AB1012" s="409"/>
      <c r="AC1012" s="409"/>
      <c r="AD1012" s="409"/>
      <c r="AE1012" s="409"/>
      <c r="AF1012" s="414"/>
      <c r="AG1012" s="414"/>
      <c r="AH1012" s="414"/>
      <c r="AI1012" s="414"/>
      <c r="AJ1012" s="414"/>
      <c r="AK1012" s="414"/>
      <c r="AL1012" s="414"/>
      <c r="AM1012" s="296">
        <f>SUM(Y1012:AL1012)</f>
        <v>0</v>
      </c>
    </row>
    <row r="1013" spans="1:39" ht="15.5" hidden="1" outlineLevel="1">
      <c r="A1013" s="526"/>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0">
        <f>Y1012</f>
        <v>0</v>
      </c>
      <c r="Z1013" s="410">
        <f t="shared" si="2187" ref="Z1013:AL1013">Z1012</f>
        <v>0</v>
      </c>
      <c r="AA1013" s="410">
        <f t="shared" si="2187"/>
        <v>0</v>
      </c>
      <c r="AB1013" s="410">
        <f t="shared" si="2187"/>
        <v>0</v>
      </c>
      <c r="AC1013" s="410">
        <f t="shared" si="2187"/>
        <v>0</v>
      </c>
      <c r="AD1013" s="410">
        <f t="shared" si="2187"/>
        <v>0</v>
      </c>
      <c r="AE1013" s="410">
        <f t="shared" si="2187"/>
        <v>0</v>
      </c>
      <c r="AF1013" s="410">
        <f t="shared" si="2187"/>
        <v>0</v>
      </c>
      <c r="AG1013" s="410">
        <f t="shared" si="2187"/>
        <v>0</v>
      </c>
      <c r="AH1013" s="410">
        <f t="shared" si="2187"/>
        <v>0</v>
      </c>
      <c r="AI1013" s="410">
        <f t="shared" si="2187"/>
        <v>0</v>
      </c>
      <c r="AJ1013" s="410">
        <f t="shared" si="2187"/>
        <v>0</v>
      </c>
      <c r="AK1013" s="410">
        <f t="shared" si="2187"/>
        <v>0</v>
      </c>
      <c r="AL1013" s="410">
        <f t="shared" si="2187"/>
        <v>0</v>
      </c>
      <c r="AM1013" s="297"/>
    </row>
    <row r="1014" spans="1:39" ht="15.5" hidden="1" outlineLevel="1">
      <c r="A1014" s="526"/>
      <c r="B1014" s="321"/>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1"/>
      <c r="Z1014" s="411"/>
      <c r="AA1014" s="411"/>
      <c r="AB1014" s="411"/>
      <c r="AC1014" s="411"/>
      <c r="AD1014" s="411"/>
      <c r="AE1014" s="411"/>
      <c r="AF1014" s="411"/>
      <c r="AG1014" s="411"/>
      <c r="AH1014" s="411"/>
      <c r="AI1014" s="411"/>
      <c r="AJ1014" s="411"/>
      <c r="AK1014" s="411"/>
      <c r="AL1014" s="411"/>
      <c r="AM1014" s="306"/>
    </row>
    <row r="1015" spans="1:39" ht="15.5" hidden="1" outlineLevel="1">
      <c r="A1015" s="526">
        <v>20</v>
      </c>
      <c r="B1015" s="425"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3"/>
      <c r="Z1015" s="409"/>
      <c r="AA1015" s="409"/>
      <c r="AB1015" s="409"/>
      <c r="AC1015" s="409"/>
      <c r="AD1015" s="409"/>
      <c r="AE1015" s="409"/>
      <c r="AF1015" s="414"/>
      <c r="AG1015" s="414"/>
      <c r="AH1015" s="414"/>
      <c r="AI1015" s="414"/>
      <c r="AJ1015" s="414"/>
      <c r="AK1015" s="414"/>
      <c r="AL1015" s="414"/>
      <c r="AM1015" s="296">
        <f>SUM(Y1015:AL1015)</f>
        <v>0</v>
      </c>
    </row>
    <row r="1016" spans="1:39" ht="15.5" hidden="1" outlineLevel="1">
      <c r="A1016" s="526"/>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0">
        <f t="shared" si="2188" ref="Y1016:AL1016">Y1015</f>
        <v>0</v>
      </c>
      <c r="Z1016" s="410">
        <f t="shared" si="2188"/>
        <v>0</v>
      </c>
      <c r="AA1016" s="410">
        <f t="shared" si="2188"/>
        <v>0</v>
      </c>
      <c r="AB1016" s="410">
        <f t="shared" si="2188"/>
        <v>0</v>
      </c>
      <c r="AC1016" s="410">
        <f t="shared" si="2188"/>
        <v>0</v>
      </c>
      <c r="AD1016" s="410">
        <f t="shared" si="2188"/>
        <v>0</v>
      </c>
      <c r="AE1016" s="410">
        <f t="shared" si="2188"/>
        <v>0</v>
      </c>
      <c r="AF1016" s="410">
        <f t="shared" si="2188"/>
        <v>0</v>
      </c>
      <c r="AG1016" s="410">
        <f t="shared" si="2188"/>
        <v>0</v>
      </c>
      <c r="AH1016" s="410">
        <f t="shared" si="2188"/>
        <v>0</v>
      </c>
      <c r="AI1016" s="410">
        <f t="shared" si="2188"/>
        <v>0</v>
      </c>
      <c r="AJ1016" s="410">
        <f t="shared" si="2188"/>
        <v>0</v>
      </c>
      <c r="AK1016" s="410">
        <f t="shared" si="2188"/>
        <v>0</v>
      </c>
      <c r="AL1016" s="410">
        <f t="shared" si="2188"/>
        <v>0</v>
      </c>
      <c r="AM1016" s="306"/>
    </row>
    <row r="1017" spans="1:39" ht="15.5" hidden="1" outlineLevel="1">
      <c r="A1017" s="526"/>
      <c r="B1017" s="322"/>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1"/>
      <c r="Z1017" s="411"/>
      <c r="AA1017" s="411"/>
      <c r="AB1017" s="411"/>
      <c r="AC1017" s="411"/>
      <c r="AD1017" s="411"/>
      <c r="AE1017" s="411"/>
      <c r="AF1017" s="411"/>
      <c r="AG1017" s="411"/>
      <c r="AH1017" s="411"/>
      <c r="AI1017" s="411"/>
      <c r="AJ1017" s="411"/>
      <c r="AK1017" s="411"/>
      <c r="AL1017" s="411"/>
      <c r="AM1017" s="306"/>
    </row>
    <row r="1018" spans="1:39" ht="15.5" hidden="1" outlineLevel="1">
      <c r="A1018" s="526"/>
      <c r="B1018" s="512"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19"/>
      <c r="Z1018" s="422"/>
      <c r="AA1018" s="422"/>
      <c r="AB1018" s="422"/>
      <c r="AC1018" s="422"/>
      <c r="AD1018" s="422"/>
      <c r="AE1018" s="422"/>
      <c r="AF1018" s="422"/>
      <c r="AG1018" s="422"/>
      <c r="AH1018" s="422"/>
      <c r="AI1018" s="422"/>
      <c r="AJ1018" s="422"/>
      <c r="AK1018" s="422"/>
      <c r="AL1018" s="422"/>
      <c r="AM1018" s="306"/>
    </row>
    <row r="1019" spans="1:39" ht="15.5" hidden="1" outlineLevel="1">
      <c r="A1019" s="526"/>
      <c r="B1019" s="498"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9"/>
      <c r="Z1019" s="422"/>
      <c r="AA1019" s="422"/>
      <c r="AB1019" s="422"/>
      <c r="AC1019" s="422"/>
      <c r="AD1019" s="422"/>
      <c r="AE1019" s="422"/>
      <c r="AF1019" s="422"/>
      <c r="AG1019" s="422"/>
      <c r="AH1019" s="422"/>
      <c r="AI1019" s="422"/>
      <c r="AJ1019" s="422"/>
      <c r="AK1019" s="422"/>
      <c r="AL1019" s="422"/>
      <c r="AM1019" s="306"/>
    </row>
    <row r="1020" spans="1:39" ht="15" customHeight="1" hidden="1" outlineLevel="1">
      <c r="A1020" s="526">
        <v>21</v>
      </c>
      <c r="B1020" s="425"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09"/>
      <c r="Z1020" s="409"/>
      <c r="AA1020" s="409"/>
      <c r="AB1020" s="409"/>
      <c r="AC1020" s="409"/>
      <c r="AD1020" s="409"/>
      <c r="AE1020" s="409"/>
      <c r="AF1020" s="409"/>
      <c r="AG1020" s="409"/>
      <c r="AH1020" s="409"/>
      <c r="AI1020" s="409"/>
      <c r="AJ1020" s="409"/>
      <c r="AK1020" s="409"/>
      <c r="AL1020" s="409"/>
      <c r="AM1020" s="296">
        <f>SUM(Y1020:AL1020)</f>
        <v>0</v>
      </c>
    </row>
    <row r="1021" spans="1:39" ht="15" customHeight="1" hidden="1" outlineLevel="1">
      <c r="A1021" s="526"/>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0">
        <f>Y1020</f>
        <v>0</v>
      </c>
      <c r="Z1021" s="410">
        <f t="shared" si="2189" ref="Z1021">Z1020</f>
        <v>0</v>
      </c>
      <c r="AA1021" s="410">
        <f t="shared" si="2190" ref="AA1021">AA1020</f>
        <v>0</v>
      </c>
      <c r="AB1021" s="410">
        <f t="shared" si="2191" ref="AB1021">AB1020</f>
        <v>0</v>
      </c>
      <c r="AC1021" s="410">
        <f t="shared" si="2192" ref="AC1021">AC1020</f>
        <v>0</v>
      </c>
      <c r="AD1021" s="410">
        <f t="shared" si="2193" ref="AD1021">AD1020</f>
        <v>0</v>
      </c>
      <c r="AE1021" s="410">
        <f t="shared" si="2194" ref="AE1021">AE1020</f>
        <v>0</v>
      </c>
      <c r="AF1021" s="410">
        <f t="shared" si="2195" ref="AF1021">AF1020</f>
        <v>0</v>
      </c>
      <c r="AG1021" s="410">
        <f t="shared" si="2196" ref="AG1021">AG1020</f>
        <v>0</v>
      </c>
      <c r="AH1021" s="410">
        <f t="shared" si="2197" ref="AH1021">AH1020</f>
        <v>0</v>
      </c>
      <c r="AI1021" s="410">
        <f t="shared" si="2198" ref="AI1021">AI1020</f>
        <v>0</v>
      </c>
      <c r="AJ1021" s="410">
        <f t="shared" si="2199" ref="AJ1021">AJ1020</f>
        <v>0</v>
      </c>
      <c r="AK1021" s="410">
        <f t="shared" si="2200" ref="AK1021">AK1020</f>
        <v>0</v>
      </c>
      <c r="AL1021" s="410">
        <f t="shared" si="2201" ref="AL1021">AL1020</f>
        <v>0</v>
      </c>
      <c r="AM1021" s="306"/>
    </row>
    <row r="1022" spans="1:39" ht="15" customHeight="1" hidden="1" outlineLevel="1">
      <c r="A1022" s="526"/>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19"/>
      <c r="Z1022" s="422"/>
      <c r="AA1022" s="422"/>
      <c r="AB1022" s="422"/>
      <c r="AC1022" s="422"/>
      <c r="AD1022" s="422"/>
      <c r="AE1022" s="422"/>
      <c r="AF1022" s="422"/>
      <c r="AG1022" s="422"/>
      <c r="AH1022" s="422"/>
      <c r="AI1022" s="422"/>
      <c r="AJ1022" s="422"/>
      <c r="AK1022" s="422"/>
      <c r="AL1022" s="422"/>
      <c r="AM1022" s="306"/>
    </row>
    <row r="1023" spans="1:39" ht="15" customHeight="1" hidden="1" outlineLevel="1">
      <c r="A1023" s="526">
        <v>22</v>
      </c>
      <c r="B1023" s="425"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09"/>
      <c r="Z1023" s="409"/>
      <c r="AA1023" s="409"/>
      <c r="AB1023" s="409"/>
      <c r="AC1023" s="409"/>
      <c r="AD1023" s="409"/>
      <c r="AE1023" s="409"/>
      <c r="AF1023" s="409"/>
      <c r="AG1023" s="409"/>
      <c r="AH1023" s="409"/>
      <c r="AI1023" s="409"/>
      <c r="AJ1023" s="409"/>
      <c r="AK1023" s="409"/>
      <c r="AL1023" s="409"/>
      <c r="AM1023" s="296">
        <f>SUM(Y1023:AL1023)</f>
        <v>0</v>
      </c>
    </row>
    <row r="1024" spans="1:39" ht="15" customHeight="1" hidden="1" outlineLevel="1">
      <c r="A1024" s="526"/>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0">
        <f>Y1023</f>
        <v>0</v>
      </c>
      <c r="Z1024" s="410">
        <f t="shared" si="2202" ref="Z1024">Z1023</f>
        <v>0</v>
      </c>
      <c r="AA1024" s="410">
        <f t="shared" si="2203" ref="AA1024">AA1023</f>
        <v>0</v>
      </c>
      <c r="AB1024" s="410">
        <f t="shared" si="2204" ref="AB1024">AB1023</f>
        <v>0</v>
      </c>
      <c r="AC1024" s="410">
        <f t="shared" si="2205" ref="AC1024">AC1023</f>
        <v>0</v>
      </c>
      <c r="AD1024" s="410">
        <f t="shared" si="2206" ref="AD1024">AD1023</f>
        <v>0</v>
      </c>
      <c r="AE1024" s="410">
        <f t="shared" si="2207" ref="AE1024">AE1023</f>
        <v>0</v>
      </c>
      <c r="AF1024" s="410">
        <f t="shared" si="2208" ref="AF1024">AF1023</f>
        <v>0</v>
      </c>
      <c r="AG1024" s="410">
        <f t="shared" si="2209" ref="AG1024">AG1023</f>
        <v>0</v>
      </c>
      <c r="AH1024" s="410">
        <f t="shared" si="2210" ref="AH1024">AH1023</f>
        <v>0</v>
      </c>
      <c r="AI1024" s="410">
        <f t="shared" si="2211" ref="AI1024">AI1023</f>
        <v>0</v>
      </c>
      <c r="AJ1024" s="410">
        <f t="shared" si="2212" ref="AJ1024">AJ1023</f>
        <v>0</v>
      </c>
      <c r="AK1024" s="410">
        <f t="shared" si="2213" ref="AK1024">AK1023</f>
        <v>0</v>
      </c>
      <c r="AL1024" s="410">
        <f t="shared" si="2214" ref="AL1024">AL1023</f>
        <v>0</v>
      </c>
      <c r="AM1024" s="306"/>
    </row>
    <row r="1025" spans="1:39" ht="15" customHeight="1" hidden="1" outlineLevel="1">
      <c r="A1025" s="526"/>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9"/>
      <c r="Z1025" s="422"/>
      <c r="AA1025" s="422"/>
      <c r="AB1025" s="422"/>
      <c r="AC1025" s="422"/>
      <c r="AD1025" s="422"/>
      <c r="AE1025" s="422"/>
      <c r="AF1025" s="422"/>
      <c r="AG1025" s="422"/>
      <c r="AH1025" s="422"/>
      <c r="AI1025" s="422"/>
      <c r="AJ1025" s="422"/>
      <c r="AK1025" s="422"/>
      <c r="AL1025" s="422"/>
      <c r="AM1025" s="306"/>
    </row>
    <row r="1026" spans="1:39" ht="15" customHeight="1" hidden="1" outlineLevel="1">
      <c r="A1026" s="526">
        <v>23</v>
      </c>
      <c r="B1026" s="425"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09"/>
      <c r="Z1026" s="409"/>
      <c r="AA1026" s="409"/>
      <c r="AB1026" s="409"/>
      <c r="AC1026" s="409"/>
      <c r="AD1026" s="409"/>
      <c r="AE1026" s="409"/>
      <c r="AF1026" s="409"/>
      <c r="AG1026" s="409"/>
      <c r="AH1026" s="409"/>
      <c r="AI1026" s="409"/>
      <c r="AJ1026" s="409"/>
      <c r="AK1026" s="409"/>
      <c r="AL1026" s="409"/>
      <c r="AM1026" s="296">
        <f>SUM(Y1026:AL1026)</f>
        <v>0</v>
      </c>
    </row>
    <row r="1027" spans="1:39" ht="15" customHeight="1" hidden="1" outlineLevel="1">
      <c r="A1027" s="526"/>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f>Y1026</f>
        <v>0</v>
      </c>
      <c r="Z1027" s="410">
        <f t="shared" si="2215" ref="Z1027">Z1026</f>
        <v>0</v>
      </c>
      <c r="AA1027" s="410">
        <f t="shared" si="2216" ref="AA1027">AA1026</f>
        <v>0</v>
      </c>
      <c r="AB1027" s="410">
        <f t="shared" si="2217" ref="AB1027">AB1026</f>
        <v>0</v>
      </c>
      <c r="AC1027" s="410">
        <f t="shared" si="2218" ref="AC1027">AC1026</f>
        <v>0</v>
      </c>
      <c r="AD1027" s="410">
        <f t="shared" si="2219" ref="AD1027">AD1026</f>
        <v>0</v>
      </c>
      <c r="AE1027" s="410">
        <f t="shared" si="2220" ref="AE1027">AE1026</f>
        <v>0</v>
      </c>
      <c r="AF1027" s="410">
        <f t="shared" si="2221" ref="AF1027">AF1026</f>
        <v>0</v>
      </c>
      <c r="AG1027" s="410">
        <f t="shared" si="2222" ref="AG1027">AG1026</f>
        <v>0</v>
      </c>
      <c r="AH1027" s="410">
        <f t="shared" si="2223" ref="AH1027">AH1026</f>
        <v>0</v>
      </c>
      <c r="AI1027" s="410">
        <f t="shared" si="2224" ref="AI1027">AI1026</f>
        <v>0</v>
      </c>
      <c r="AJ1027" s="410">
        <f t="shared" si="2225" ref="AJ1027">AJ1026</f>
        <v>0</v>
      </c>
      <c r="AK1027" s="410">
        <f t="shared" si="2226" ref="AK1027">AK1026</f>
        <v>0</v>
      </c>
      <c r="AL1027" s="410">
        <f t="shared" si="2227" ref="AL1027">AL1026</f>
        <v>0</v>
      </c>
      <c r="AM1027" s="306"/>
    </row>
    <row r="1028" spans="1:39" ht="15" customHeight="1" hidden="1" outlineLevel="1">
      <c r="A1028" s="526"/>
      <c r="B1028" s="427"/>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9"/>
      <c r="Z1028" s="422"/>
      <c r="AA1028" s="422"/>
      <c r="AB1028" s="422"/>
      <c r="AC1028" s="422"/>
      <c r="AD1028" s="422"/>
      <c r="AE1028" s="422"/>
      <c r="AF1028" s="422"/>
      <c r="AG1028" s="422"/>
      <c r="AH1028" s="422"/>
      <c r="AI1028" s="422"/>
      <c r="AJ1028" s="422"/>
      <c r="AK1028" s="422"/>
      <c r="AL1028" s="422"/>
      <c r="AM1028" s="306"/>
    </row>
    <row r="1029" spans="1:39" ht="15" customHeight="1" hidden="1" outlineLevel="1">
      <c r="A1029" s="526">
        <v>24</v>
      </c>
      <c r="B1029" s="425"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09"/>
      <c r="Z1029" s="409"/>
      <c r="AA1029" s="409"/>
      <c r="AB1029" s="409"/>
      <c r="AC1029" s="409"/>
      <c r="AD1029" s="409"/>
      <c r="AE1029" s="409"/>
      <c r="AF1029" s="409"/>
      <c r="AG1029" s="409"/>
      <c r="AH1029" s="409"/>
      <c r="AI1029" s="409"/>
      <c r="AJ1029" s="409"/>
      <c r="AK1029" s="409"/>
      <c r="AL1029" s="409"/>
      <c r="AM1029" s="296">
        <f>SUM(Y1029:AL1029)</f>
        <v>0</v>
      </c>
    </row>
    <row r="1030" spans="1:39" ht="15" customHeight="1" hidden="1" outlineLevel="1">
      <c r="A1030" s="526"/>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f>Y1029</f>
        <v>0</v>
      </c>
      <c r="Z1030" s="410">
        <f t="shared" si="2228" ref="Z1030">Z1029</f>
        <v>0</v>
      </c>
      <c r="AA1030" s="410">
        <f t="shared" si="2229" ref="AA1030">AA1029</f>
        <v>0</v>
      </c>
      <c r="AB1030" s="410">
        <f t="shared" si="2230" ref="AB1030">AB1029</f>
        <v>0</v>
      </c>
      <c r="AC1030" s="410">
        <f t="shared" si="2231" ref="AC1030">AC1029</f>
        <v>0</v>
      </c>
      <c r="AD1030" s="410">
        <f t="shared" si="2232" ref="AD1030">AD1029</f>
        <v>0</v>
      </c>
      <c r="AE1030" s="410">
        <f t="shared" si="2233" ref="AE1030">AE1029</f>
        <v>0</v>
      </c>
      <c r="AF1030" s="410">
        <f t="shared" si="2234" ref="AF1030">AF1029</f>
        <v>0</v>
      </c>
      <c r="AG1030" s="410">
        <f t="shared" si="2235" ref="AG1030">AG1029</f>
        <v>0</v>
      </c>
      <c r="AH1030" s="410">
        <f t="shared" si="2236" ref="AH1030">AH1029</f>
        <v>0</v>
      </c>
      <c r="AI1030" s="410">
        <f t="shared" si="2237" ref="AI1030">AI1029</f>
        <v>0</v>
      </c>
      <c r="AJ1030" s="410">
        <f t="shared" si="2238" ref="AJ1030">AJ1029</f>
        <v>0</v>
      </c>
      <c r="AK1030" s="410">
        <f t="shared" si="2239" ref="AK1030">AK1029</f>
        <v>0</v>
      </c>
      <c r="AL1030" s="410">
        <f t="shared" si="2240" ref="AL1030">AL1029</f>
        <v>0</v>
      </c>
      <c r="AM1030" s="306"/>
    </row>
    <row r="1031" spans="1:39" ht="15" customHeight="1" hidden="1" outlineLevel="1">
      <c r="A1031" s="526"/>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1"/>
      <c r="Z1031" s="422"/>
      <c r="AA1031" s="422"/>
      <c r="AB1031" s="422"/>
      <c r="AC1031" s="422"/>
      <c r="AD1031" s="422"/>
      <c r="AE1031" s="422"/>
      <c r="AF1031" s="422"/>
      <c r="AG1031" s="422"/>
      <c r="AH1031" s="422"/>
      <c r="AI1031" s="422"/>
      <c r="AJ1031" s="422"/>
      <c r="AK1031" s="422"/>
      <c r="AL1031" s="422"/>
      <c r="AM1031" s="306"/>
    </row>
    <row r="1032" spans="1:39" ht="15" customHeight="1" hidden="1" outlineLevel="1">
      <c r="A1032" s="526"/>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1"/>
      <c r="Z1032" s="422"/>
      <c r="AA1032" s="422"/>
      <c r="AB1032" s="422"/>
      <c r="AC1032" s="422"/>
      <c r="AD1032" s="422"/>
      <c r="AE1032" s="422"/>
      <c r="AF1032" s="422"/>
      <c r="AG1032" s="422"/>
      <c r="AH1032" s="422"/>
      <c r="AI1032" s="422"/>
      <c r="AJ1032" s="422"/>
      <c r="AK1032" s="422"/>
      <c r="AL1032" s="422"/>
      <c r="AM1032" s="306"/>
    </row>
    <row r="1033" spans="1:39" ht="15" customHeight="1" hidden="1" outlineLevel="1">
      <c r="A1033" s="526">
        <v>25</v>
      </c>
      <c r="B1033" s="425"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3"/>
      <c r="Z1033" s="414"/>
      <c r="AA1033" s="414"/>
      <c r="AB1033" s="414"/>
      <c r="AC1033" s="414"/>
      <c r="AD1033" s="414"/>
      <c r="AE1033" s="414"/>
      <c r="AF1033" s="414"/>
      <c r="AG1033" s="414"/>
      <c r="AH1033" s="414"/>
      <c r="AI1033" s="414"/>
      <c r="AJ1033" s="414"/>
      <c r="AK1033" s="414"/>
      <c r="AL1033" s="414"/>
      <c r="AM1033" s="296">
        <f>SUM(Y1033:AL1033)</f>
        <v>0</v>
      </c>
    </row>
    <row r="1034" spans="1:39" ht="15" customHeight="1" hidden="1" outlineLevel="1">
      <c r="A1034" s="526"/>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0">
        <f>Y1033</f>
        <v>0</v>
      </c>
      <c r="Z1034" s="410">
        <f t="shared" si="2241" ref="Z1034">Z1033</f>
        <v>0</v>
      </c>
      <c r="AA1034" s="410">
        <f t="shared" si="2242" ref="AA1034">AA1033</f>
        <v>0</v>
      </c>
      <c r="AB1034" s="410">
        <f t="shared" si="2243" ref="AB1034">AB1033</f>
        <v>0</v>
      </c>
      <c r="AC1034" s="410">
        <f t="shared" si="2244" ref="AC1034">AC1033</f>
        <v>0</v>
      </c>
      <c r="AD1034" s="410">
        <f t="shared" si="2245" ref="AD1034">AD1033</f>
        <v>0</v>
      </c>
      <c r="AE1034" s="410">
        <f t="shared" si="2246" ref="AE1034">AE1033</f>
        <v>0</v>
      </c>
      <c r="AF1034" s="410">
        <f t="shared" si="2247" ref="AF1034">AF1033</f>
        <v>0</v>
      </c>
      <c r="AG1034" s="410">
        <f t="shared" si="2248" ref="AG1034">AG1033</f>
        <v>0</v>
      </c>
      <c r="AH1034" s="410">
        <f t="shared" si="2249" ref="AH1034">AH1033</f>
        <v>0</v>
      </c>
      <c r="AI1034" s="410">
        <f t="shared" si="2250" ref="AI1034">AI1033</f>
        <v>0</v>
      </c>
      <c r="AJ1034" s="410">
        <f t="shared" si="2251" ref="AJ1034">AJ1033</f>
        <v>0</v>
      </c>
      <c r="AK1034" s="410">
        <f t="shared" si="2252" ref="AK1034">AK1033</f>
        <v>0</v>
      </c>
      <c r="AL1034" s="410">
        <f t="shared" si="2253" ref="AL1034">AL1033</f>
        <v>0</v>
      </c>
      <c r="AM1034" s="306"/>
    </row>
    <row r="1035" spans="1:39" ht="15" customHeight="1" hidden="1" outlineLevel="1">
      <c r="A1035" s="526"/>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1"/>
      <c r="Z1035" s="422"/>
      <c r="AA1035" s="422"/>
      <c r="AB1035" s="422"/>
      <c r="AC1035" s="422"/>
      <c r="AD1035" s="422"/>
      <c r="AE1035" s="422"/>
      <c r="AF1035" s="422"/>
      <c r="AG1035" s="422"/>
      <c r="AH1035" s="422"/>
      <c r="AI1035" s="422"/>
      <c r="AJ1035" s="422"/>
      <c r="AK1035" s="422"/>
      <c r="AL1035" s="422"/>
      <c r="AM1035" s="306"/>
    </row>
    <row r="1036" spans="1:39" ht="15" customHeight="1" hidden="1" outlineLevel="1">
      <c r="A1036" s="526">
        <v>26</v>
      </c>
      <c r="B1036" s="425"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3"/>
      <c r="Z1036" s="414"/>
      <c r="AA1036" s="414"/>
      <c r="AB1036" s="414"/>
      <c r="AC1036" s="414"/>
      <c r="AD1036" s="414"/>
      <c r="AE1036" s="414"/>
      <c r="AF1036" s="414"/>
      <c r="AG1036" s="414"/>
      <c r="AH1036" s="414"/>
      <c r="AI1036" s="414"/>
      <c r="AJ1036" s="414"/>
      <c r="AK1036" s="414"/>
      <c r="AL1036" s="414"/>
      <c r="AM1036" s="296">
        <f>SUM(Y1036:AL1036)</f>
        <v>0</v>
      </c>
    </row>
    <row r="1037" spans="1:39" ht="15" customHeight="1" hidden="1" outlineLevel="1">
      <c r="A1037" s="526"/>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0">
        <f>Y1036</f>
        <v>0</v>
      </c>
      <c r="Z1037" s="410">
        <f t="shared" si="2254" ref="Z1037">Z1036</f>
        <v>0</v>
      </c>
      <c r="AA1037" s="410">
        <f t="shared" si="2255" ref="AA1037">AA1036</f>
        <v>0</v>
      </c>
      <c r="AB1037" s="410">
        <f t="shared" si="2256" ref="AB1037">AB1036</f>
        <v>0</v>
      </c>
      <c r="AC1037" s="410">
        <f t="shared" si="2257" ref="AC1037">AC1036</f>
        <v>0</v>
      </c>
      <c r="AD1037" s="410">
        <f t="shared" si="2258" ref="AD1037">AD1036</f>
        <v>0</v>
      </c>
      <c r="AE1037" s="410">
        <f t="shared" si="2259" ref="AE1037">AE1036</f>
        <v>0</v>
      </c>
      <c r="AF1037" s="410">
        <f t="shared" si="2260" ref="AF1037">AF1036</f>
        <v>0</v>
      </c>
      <c r="AG1037" s="410">
        <f t="shared" si="2261" ref="AG1037">AG1036</f>
        <v>0</v>
      </c>
      <c r="AH1037" s="410">
        <f t="shared" si="2262" ref="AH1037">AH1036</f>
        <v>0</v>
      </c>
      <c r="AI1037" s="410">
        <f t="shared" si="2263" ref="AI1037">AI1036</f>
        <v>0</v>
      </c>
      <c r="AJ1037" s="410">
        <f t="shared" si="2264" ref="AJ1037">AJ1036</f>
        <v>0</v>
      </c>
      <c r="AK1037" s="410">
        <f t="shared" si="2265" ref="AK1037">AK1036</f>
        <v>0</v>
      </c>
      <c r="AL1037" s="410">
        <f t="shared" si="2266" ref="AL1037">AL1036</f>
        <v>0</v>
      </c>
      <c r="AM1037" s="306"/>
    </row>
    <row r="1038" spans="1:39" ht="15" customHeight="1" hidden="1" outlineLevel="1">
      <c r="A1038" s="526"/>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1"/>
      <c r="Z1038" s="422"/>
      <c r="AA1038" s="422"/>
      <c r="AB1038" s="422"/>
      <c r="AC1038" s="422"/>
      <c r="AD1038" s="422"/>
      <c r="AE1038" s="422"/>
      <c r="AF1038" s="422"/>
      <c r="AG1038" s="422"/>
      <c r="AH1038" s="422"/>
      <c r="AI1038" s="422"/>
      <c r="AJ1038" s="422"/>
      <c r="AK1038" s="422"/>
      <c r="AL1038" s="422"/>
      <c r="AM1038" s="306"/>
    </row>
    <row r="1039" spans="1:39" ht="15" customHeight="1" hidden="1" outlineLevel="1">
      <c r="A1039" s="526">
        <v>27</v>
      </c>
      <c r="B1039" s="425"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3"/>
      <c r="Z1039" s="414"/>
      <c r="AA1039" s="414"/>
      <c r="AB1039" s="414"/>
      <c r="AC1039" s="414"/>
      <c r="AD1039" s="414"/>
      <c r="AE1039" s="414"/>
      <c r="AF1039" s="414"/>
      <c r="AG1039" s="414"/>
      <c r="AH1039" s="414"/>
      <c r="AI1039" s="414"/>
      <c r="AJ1039" s="414"/>
      <c r="AK1039" s="414"/>
      <c r="AL1039" s="414"/>
      <c r="AM1039" s="296">
        <f>SUM(Y1039:AL1039)</f>
        <v>0</v>
      </c>
    </row>
    <row r="1040" spans="1:39" ht="15" customHeight="1" hidden="1" outlineLevel="1">
      <c r="A1040" s="526"/>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0">
        <f>Y1039</f>
        <v>0</v>
      </c>
      <c r="Z1040" s="410">
        <f t="shared" si="2267" ref="Z1040">Z1039</f>
        <v>0</v>
      </c>
      <c r="AA1040" s="410">
        <f t="shared" si="2268" ref="AA1040">AA1039</f>
        <v>0</v>
      </c>
      <c r="AB1040" s="410">
        <f t="shared" si="2269" ref="AB1040">AB1039</f>
        <v>0</v>
      </c>
      <c r="AC1040" s="410">
        <f t="shared" si="2270" ref="AC1040">AC1039</f>
        <v>0</v>
      </c>
      <c r="AD1040" s="410">
        <f t="shared" si="2271" ref="AD1040">AD1039</f>
        <v>0</v>
      </c>
      <c r="AE1040" s="410">
        <f t="shared" si="2272" ref="AE1040">AE1039</f>
        <v>0</v>
      </c>
      <c r="AF1040" s="410">
        <f t="shared" si="2273" ref="AF1040">AF1039</f>
        <v>0</v>
      </c>
      <c r="AG1040" s="410">
        <f t="shared" si="2274" ref="AG1040">AG1039</f>
        <v>0</v>
      </c>
      <c r="AH1040" s="410">
        <f t="shared" si="2275" ref="AH1040">AH1039</f>
        <v>0</v>
      </c>
      <c r="AI1040" s="410">
        <f t="shared" si="2276" ref="AI1040">AI1039</f>
        <v>0</v>
      </c>
      <c r="AJ1040" s="410">
        <f t="shared" si="2277" ref="AJ1040">AJ1039</f>
        <v>0</v>
      </c>
      <c r="AK1040" s="410">
        <f t="shared" si="2278" ref="AK1040">AK1039</f>
        <v>0</v>
      </c>
      <c r="AL1040" s="410">
        <f t="shared" si="2279" ref="AL1040">AL1039</f>
        <v>0</v>
      </c>
      <c r="AM1040" s="306"/>
    </row>
    <row r="1041" spans="1:39" ht="15" customHeight="1" hidden="1" outlineLevel="1">
      <c r="A1041" s="526"/>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1"/>
      <c r="Z1041" s="422"/>
      <c r="AA1041" s="422"/>
      <c r="AB1041" s="422"/>
      <c r="AC1041" s="422"/>
      <c r="AD1041" s="422"/>
      <c r="AE1041" s="422"/>
      <c r="AF1041" s="422"/>
      <c r="AG1041" s="422"/>
      <c r="AH1041" s="422"/>
      <c r="AI1041" s="422"/>
      <c r="AJ1041" s="422"/>
      <c r="AK1041" s="422"/>
      <c r="AL1041" s="422"/>
      <c r="AM1041" s="306"/>
    </row>
    <row r="1042" spans="1:39" ht="15" customHeight="1" hidden="1" outlineLevel="1">
      <c r="A1042" s="526">
        <v>28</v>
      </c>
      <c r="B1042" s="425"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3"/>
      <c r="Z1042" s="414"/>
      <c r="AA1042" s="414"/>
      <c r="AB1042" s="414"/>
      <c r="AC1042" s="414"/>
      <c r="AD1042" s="414"/>
      <c r="AE1042" s="414"/>
      <c r="AF1042" s="414"/>
      <c r="AG1042" s="414"/>
      <c r="AH1042" s="414"/>
      <c r="AI1042" s="414"/>
      <c r="AJ1042" s="414"/>
      <c r="AK1042" s="414"/>
      <c r="AL1042" s="414"/>
      <c r="AM1042" s="296">
        <f>SUM(Y1042:AL1042)</f>
        <v>0</v>
      </c>
    </row>
    <row r="1043" spans="1:39" ht="15" customHeight="1" hidden="1" outlineLevel="1">
      <c r="A1043" s="526"/>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0">
        <f>Y1042</f>
        <v>0</v>
      </c>
      <c r="Z1043" s="410">
        <f>Z1042</f>
        <v>0</v>
      </c>
      <c r="AA1043" s="410">
        <f t="shared" si="2280" ref="AA1043">AA1042</f>
        <v>0</v>
      </c>
      <c r="AB1043" s="410">
        <f t="shared" si="2281" ref="AB1043">AB1042</f>
        <v>0</v>
      </c>
      <c r="AC1043" s="410">
        <f t="shared" si="2282" ref="AC1043">AC1042</f>
        <v>0</v>
      </c>
      <c r="AD1043" s="410">
        <f t="shared" si="2283" ref="AD1043">AD1042</f>
        <v>0</v>
      </c>
      <c r="AE1043" s="410">
        <f>AE1042</f>
        <v>0</v>
      </c>
      <c r="AF1043" s="410">
        <f t="shared" si="2284" ref="AF1043">AF1042</f>
        <v>0</v>
      </c>
      <c r="AG1043" s="410">
        <f t="shared" si="2285" ref="AG1043">AG1042</f>
        <v>0</v>
      </c>
      <c r="AH1043" s="410">
        <f t="shared" si="2286" ref="AH1043">AH1042</f>
        <v>0</v>
      </c>
      <c r="AI1043" s="410">
        <f t="shared" si="2287" ref="AI1043">AI1042</f>
        <v>0</v>
      </c>
      <c r="AJ1043" s="410">
        <f t="shared" si="2288" ref="AJ1043">AJ1042</f>
        <v>0</v>
      </c>
      <c r="AK1043" s="410">
        <f t="shared" si="2289" ref="AK1043">AK1042</f>
        <v>0</v>
      </c>
      <c r="AL1043" s="410">
        <f t="shared" si="2290" ref="AL1043">AL1042</f>
        <v>0</v>
      </c>
      <c r="AM1043" s="306"/>
    </row>
    <row r="1044" spans="1:39" ht="15" customHeight="1" hidden="1" outlineLevel="1">
      <c r="A1044" s="526"/>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1"/>
      <c r="Z1044" s="422"/>
      <c r="AA1044" s="422"/>
      <c r="AB1044" s="422"/>
      <c r="AC1044" s="422"/>
      <c r="AD1044" s="422"/>
      <c r="AE1044" s="422"/>
      <c r="AF1044" s="422"/>
      <c r="AG1044" s="422"/>
      <c r="AH1044" s="422"/>
      <c r="AI1044" s="422"/>
      <c r="AJ1044" s="422"/>
      <c r="AK1044" s="422"/>
      <c r="AL1044" s="422"/>
      <c r="AM1044" s="306"/>
    </row>
    <row r="1045" spans="1:39" ht="15" customHeight="1" hidden="1" outlineLevel="1">
      <c r="A1045" s="526">
        <v>29</v>
      </c>
      <c r="B1045" s="425"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3"/>
      <c r="Z1045" s="414"/>
      <c r="AA1045" s="414"/>
      <c r="AB1045" s="414"/>
      <c r="AC1045" s="414"/>
      <c r="AD1045" s="414"/>
      <c r="AE1045" s="414"/>
      <c r="AF1045" s="414"/>
      <c r="AG1045" s="414"/>
      <c r="AH1045" s="414"/>
      <c r="AI1045" s="414"/>
      <c r="AJ1045" s="414"/>
      <c r="AK1045" s="414"/>
      <c r="AL1045" s="414"/>
      <c r="AM1045" s="296">
        <f>SUM(Y1045:AL1045)</f>
        <v>0</v>
      </c>
    </row>
    <row r="1046" spans="1:39" ht="15" customHeight="1" hidden="1" outlineLevel="1">
      <c r="A1046" s="526"/>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0">
        <f>Y1045</f>
        <v>0</v>
      </c>
      <c r="Z1046" s="410">
        <f t="shared" si="2291" ref="Z1046">Z1045</f>
        <v>0</v>
      </c>
      <c r="AA1046" s="410">
        <f t="shared" si="2292" ref="AA1046">AA1045</f>
        <v>0</v>
      </c>
      <c r="AB1046" s="410">
        <f t="shared" si="2293" ref="AB1046">AB1045</f>
        <v>0</v>
      </c>
      <c r="AC1046" s="410">
        <f t="shared" si="2294" ref="AC1046">AC1045</f>
        <v>0</v>
      </c>
      <c r="AD1046" s="410">
        <f t="shared" si="2295" ref="AD1046">AD1045</f>
        <v>0</v>
      </c>
      <c r="AE1046" s="410">
        <f t="shared" si="2296" ref="AE1046">AE1045</f>
        <v>0</v>
      </c>
      <c r="AF1046" s="410">
        <f t="shared" si="2297" ref="AF1046">AF1045</f>
        <v>0</v>
      </c>
      <c r="AG1046" s="410">
        <f t="shared" si="2298" ref="AG1046">AG1045</f>
        <v>0</v>
      </c>
      <c r="AH1046" s="410">
        <f t="shared" si="2299" ref="AH1046">AH1045</f>
        <v>0</v>
      </c>
      <c r="AI1046" s="410">
        <f t="shared" si="2300" ref="AI1046">AI1045</f>
        <v>0</v>
      </c>
      <c r="AJ1046" s="410">
        <f t="shared" si="2301" ref="AJ1046">AJ1045</f>
        <v>0</v>
      </c>
      <c r="AK1046" s="410">
        <f t="shared" si="2302" ref="AK1046">AK1045</f>
        <v>0</v>
      </c>
      <c r="AL1046" s="410">
        <f t="shared" si="2303" ref="AL1046">AL1045</f>
        <v>0</v>
      </c>
      <c r="AM1046" s="306"/>
    </row>
    <row r="1047" spans="1:39" ht="15" customHeight="1" hidden="1" outlineLevel="1">
      <c r="A1047" s="526"/>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1"/>
      <c r="Z1047" s="422"/>
      <c r="AA1047" s="422"/>
      <c r="AB1047" s="422"/>
      <c r="AC1047" s="422"/>
      <c r="AD1047" s="422"/>
      <c r="AE1047" s="422"/>
      <c r="AF1047" s="422"/>
      <c r="AG1047" s="422"/>
      <c r="AH1047" s="422"/>
      <c r="AI1047" s="422"/>
      <c r="AJ1047" s="422"/>
      <c r="AK1047" s="422"/>
      <c r="AL1047" s="422"/>
      <c r="AM1047" s="306"/>
    </row>
    <row r="1048" spans="1:39" ht="15" customHeight="1" hidden="1" outlineLevel="1">
      <c r="A1048" s="526">
        <v>30</v>
      </c>
      <c r="B1048" s="425"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3"/>
      <c r="Z1048" s="414"/>
      <c r="AA1048" s="414"/>
      <c r="AB1048" s="414"/>
      <c r="AC1048" s="414"/>
      <c r="AD1048" s="414"/>
      <c r="AE1048" s="414"/>
      <c r="AF1048" s="414"/>
      <c r="AG1048" s="414"/>
      <c r="AH1048" s="414"/>
      <c r="AI1048" s="414"/>
      <c r="AJ1048" s="414"/>
      <c r="AK1048" s="414"/>
      <c r="AL1048" s="414"/>
      <c r="AM1048" s="296">
        <f>SUM(Y1048:AL1048)</f>
        <v>0</v>
      </c>
    </row>
    <row r="1049" spans="1:39" ht="15" customHeight="1" hidden="1" outlineLevel="1">
      <c r="A1049" s="526"/>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0">
        <f>Y1048</f>
        <v>0</v>
      </c>
      <c r="Z1049" s="410">
        <f t="shared" si="2304" ref="Z1049">Z1048</f>
        <v>0</v>
      </c>
      <c r="AA1049" s="410">
        <f t="shared" si="2305" ref="AA1049">AA1048</f>
        <v>0</v>
      </c>
      <c r="AB1049" s="410">
        <f t="shared" si="2306" ref="AB1049">AB1048</f>
        <v>0</v>
      </c>
      <c r="AC1049" s="410">
        <f t="shared" si="2307" ref="AC1049">AC1048</f>
        <v>0</v>
      </c>
      <c r="AD1049" s="410">
        <f t="shared" si="2308" ref="AD1049">AD1048</f>
        <v>0</v>
      </c>
      <c r="AE1049" s="410">
        <f t="shared" si="2309" ref="AE1049">AE1048</f>
        <v>0</v>
      </c>
      <c r="AF1049" s="410">
        <f t="shared" si="2310" ref="AF1049">AF1048</f>
        <v>0</v>
      </c>
      <c r="AG1049" s="410">
        <f t="shared" si="2311" ref="AG1049">AG1048</f>
        <v>0</v>
      </c>
      <c r="AH1049" s="410">
        <f t="shared" si="2312" ref="AH1049">AH1048</f>
        <v>0</v>
      </c>
      <c r="AI1049" s="410">
        <f t="shared" si="2313" ref="AI1049">AI1048</f>
        <v>0</v>
      </c>
      <c r="AJ1049" s="410">
        <f t="shared" si="2314" ref="AJ1049">AJ1048</f>
        <v>0</v>
      </c>
      <c r="AK1049" s="410">
        <f t="shared" si="2315" ref="AK1049">AK1048</f>
        <v>0</v>
      </c>
      <c r="AL1049" s="410">
        <f t="shared" si="2316" ref="AL1049">AL1048</f>
        <v>0</v>
      </c>
      <c r="AM1049" s="306"/>
    </row>
    <row r="1050" spans="1:39" ht="15" customHeight="1" hidden="1" outlineLevel="1">
      <c r="A1050" s="526"/>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1"/>
      <c r="Z1050" s="422"/>
      <c r="AA1050" s="422"/>
      <c r="AB1050" s="422"/>
      <c r="AC1050" s="422"/>
      <c r="AD1050" s="422"/>
      <c r="AE1050" s="422"/>
      <c r="AF1050" s="422"/>
      <c r="AG1050" s="422"/>
      <c r="AH1050" s="422"/>
      <c r="AI1050" s="422"/>
      <c r="AJ1050" s="422"/>
      <c r="AK1050" s="422"/>
      <c r="AL1050" s="422"/>
      <c r="AM1050" s="306"/>
    </row>
    <row r="1051" spans="1:39" ht="15" customHeight="1" hidden="1" outlineLevel="1">
      <c r="A1051" s="526">
        <v>31</v>
      </c>
      <c r="B1051" s="425"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3"/>
      <c r="Z1051" s="414"/>
      <c r="AA1051" s="414"/>
      <c r="AB1051" s="414"/>
      <c r="AC1051" s="414"/>
      <c r="AD1051" s="414"/>
      <c r="AE1051" s="414"/>
      <c r="AF1051" s="414"/>
      <c r="AG1051" s="414"/>
      <c r="AH1051" s="414"/>
      <c r="AI1051" s="414"/>
      <c r="AJ1051" s="414"/>
      <c r="AK1051" s="414"/>
      <c r="AL1051" s="414"/>
      <c r="AM1051" s="296">
        <f>SUM(Y1051:AL1051)</f>
        <v>0</v>
      </c>
    </row>
    <row r="1052" spans="1:39" ht="15" customHeight="1" hidden="1" outlineLevel="1">
      <c r="A1052" s="526"/>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0">
        <f>Y1051</f>
        <v>0</v>
      </c>
      <c r="Z1052" s="410">
        <f t="shared" si="2317" ref="Z1052">Z1051</f>
        <v>0</v>
      </c>
      <c r="AA1052" s="410">
        <f t="shared" si="2318" ref="AA1052">AA1051</f>
        <v>0</v>
      </c>
      <c r="AB1052" s="410">
        <f t="shared" si="2319" ref="AB1052">AB1051</f>
        <v>0</v>
      </c>
      <c r="AC1052" s="410">
        <f t="shared" si="2320" ref="AC1052">AC1051</f>
        <v>0</v>
      </c>
      <c r="AD1052" s="410">
        <f t="shared" si="2321" ref="AD1052">AD1051</f>
        <v>0</v>
      </c>
      <c r="AE1052" s="410">
        <f t="shared" si="2322" ref="AE1052">AE1051</f>
        <v>0</v>
      </c>
      <c r="AF1052" s="410">
        <f t="shared" si="2323" ref="AF1052">AF1051</f>
        <v>0</v>
      </c>
      <c r="AG1052" s="410">
        <f t="shared" si="2324" ref="AG1052">AG1051</f>
        <v>0</v>
      </c>
      <c r="AH1052" s="410">
        <f t="shared" si="2325" ref="AH1052">AH1051</f>
        <v>0</v>
      </c>
      <c r="AI1052" s="410">
        <f t="shared" si="2326" ref="AI1052">AI1051</f>
        <v>0</v>
      </c>
      <c r="AJ1052" s="410">
        <f t="shared" si="2327" ref="AJ1052">AJ1051</f>
        <v>0</v>
      </c>
      <c r="AK1052" s="410">
        <f t="shared" si="2328" ref="AK1052">AK1051</f>
        <v>0</v>
      </c>
      <c r="AL1052" s="410">
        <f t="shared" si="2329" ref="AL1052">AL1051</f>
        <v>0</v>
      </c>
      <c r="AM1052" s="306"/>
    </row>
    <row r="1053" spans="1:39" ht="15" customHeight="1" hidden="1" outlineLevel="1">
      <c r="A1053" s="526"/>
      <c r="B1053" s="425"/>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1"/>
      <c r="Z1053" s="422"/>
      <c r="AA1053" s="422"/>
      <c r="AB1053" s="422"/>
      <c r="AC1053" s="422"/>
      <c r="AD1053" s="422"/>
      <c r="AE1053" s="422"/>
      <c r="AF1053" s="422"/>
      <c r="AG1053" s="422"/>
      <c r="AH1053" s="422"/>
      <c r="AI1053" s="422"/>
      <c r="AJ1053" s="422"/>
      <c r="AK1053" s="422"/>
      <c r="AL1053" s="422"/>
      <c r="AM1053" s="306"/>
    </row>
    <row r="1054" spans="1:39" ht="15" customHeight="1" hidden="1" outlineLevel="1">
      <c r="A1054" s="526">
        <v>32</v>
      </c>
      <c r="B1054" s="425"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3"/>
      <c r="Z1054" s="414"/>
      <c r="AA1054" s="414"/>
      <c r="AB1054" s="414"/>
      <c r="AC1054" s="414"/>
      <c r="AD1054" s="414"/>
      <c r="AE1054" s="414"/>
      <c r="AF1054" s="414"/>
      <c r="AG1054" s="414"/>
      <c r="AH1054" s="414"/>
      <c r="AI1054" s="414"/>
      <c r="AJ1054" s="414"/>
      <c r="AK1054" s="414"/>
      <c r="AL1054" s="414"/>
      <c r="AM1054" s="296">
        <f>SUM(Y1054:AL1054)</f>
        <v>0</v>
      </c>
    </row>
    <row r="1055" spans="1:39" ht="15" customHeight="1" hidden="1" outlineLevel="1">
      <c r="A1055" s="526"/>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0">
        <f>Y1054</f>
        <v>0</v>
      </c>
      <c r="Z1055" s="410">
        <f t="shared" si="2330" ref="Z1055">Z1054</f>
        <v>0</v>
      </c>
      <c r="AA1055" s="410">
        <f t="shared" si="2331" ref="AA1055">AA1054</f>
        <v>0</v>
      </c>
      <c r="AB1055" s="410">
        <f t="shared" si="2332" ref="AB1055">AB1054</f>
        <v>0</v>
      </c>
      <c r="AC1055" s="410">
        <f t="shared" si="2333" ref="AC1055">AC1054</f>
        <v>0</v>
      </c>
      <c r="AD1055" s="410">
        <f t="shared" si="2334" ref="AD1055">AD1054</f>
        <v>0</v>
      </c>
      <c r="AE1055" s="410">
        <f t="shared" si="2335" ref="AE1055">AE1054</f>
        <v>0</v>
      </c>
      <c r="AF1055" s="410">
        <f t="shared" si="2336" ref="AF1055">AF1054</f>
        <v>0</v>
      </c>
      <c r="AG1055" s="410">
        <f t="shared" si="2337" ref="AG1055">AG1054</f>
        <v>0</v>
      </c>
      <c r="AH1055" s="410">
        <f t="shared" si="2338" ref="AH1055">AH1054</f>
        <v>0</v>
      </c>
      <c r="AI1055" s="410">
        <f t="shared" si="2339" ref="AI1055">AI1054</f>
        <v>0</v>
      </c>
      <c r="AJ1055" s="410">
        <f t="shared" si="2340" ref="AJ1055">AJ1054</f>
        <v>0</v>
      </c>
      <c r="AK1055" s="410">
        <f t="shared" si="2341" ref="AK1055">AK1054</f>
        <v>0</v>
      </c>
      <c r="AL1055" s="410">
        <f t="shared" si="2342" ref="AL1055">AL1054</f>
        <v>0</v>
      </c>
      <c r="AM1055" s="306"/>
    </row>
    <row r="1056" spans="1:39" ht="15" customHeight="1" hidden="1" outlineLevel="1">
      <c r="A1056" s="526"/>
      <c r="B1056" s="425"/>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1"/>
      <c r="Z1056" s="422"/>
      <c r="AA1056" s="422"/>
      <c r="AB1056" s="422"/>
      <c r="AC1056" s="422"/>
      <c r="AD1056" s="422"/>
      <c r="AE1056" s="422"/>
      <c r="AF1056" s="422"/>
      <c r="AG1056" s="422"/>
      <c r="AH1056" s="422"/>
      <c r="AI1056" s="422"/>
      <c r="AJ1056" s="422"/>
      <c r="AK1056" s="422"/>
      <c r="AL1056" s="422"/>
      <c r="AM1056" s="306"/>
    </row>
    <row r="1057" spans="1:39" ht="15" customHeight="1" hidden="1" outlineLevel="1">
      <c r="A1057" s="526"/>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1"/>
      <c r="Z1057" s="422"/>
      <c r="AA1057" s="422"/>
      <c r="AB1057" s="422"/>
      <c r="AC1057" s="422"/>
      <c r="AD1057" s="422"/>
      <c r="AE1057" s="422"/>
      <c r="AF1057" s="422"/>
      <c r="AG1057" s="422"/>
      <c r="AH1057" s="422"/>
      <c r="AI1057" s="422"/>
      <c r="AJ1057" s="422"/>
      <c r="AK1057" s="422"/>
      <c r="AL1057" s="422"/>
      <c r="AM1057" s="306"/>
    </row>
    <row r="1058" spans="1:39" ht="15" customHeight="1" hidden="1" outlineLevel="1">
      <c r="A1058" s="526">
        <v>33</v>
      </c>
      <c r="B1058" s="425"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3"/>
      <c r="Z1058" s="414"/>
      <c r="AA1058" s="414"/>
      <c r="AB1058" s="414"/>
      <c r="AC1058" s="414"/>
      <c r="AD1058" s="414"/>
      <c r="AE1058" s="414"/>
      <c r="AF1058" s="414"/>
      <c r="AG1058" s="414"/>
      <c r="AH1058" s="414"/>
      <c r="AI1058" s="414"/>
      <c r="AJ1058" s="414"/>
      <c r="AK1058" s="414"/>
      <c r="AL1058" s="414"/>
      <c r="AM1058" s="296">
        <f>SUM(Y1058:AL1058)</f>
        <v>0</v>
      </c>
    </row>
    <row r="1059" spans="1:39" ht="15" customHeight="1" hidden="1" outlineLevel="1">
      <c r="A1059" s="526"/>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0">
        <f>Y1058</f>
        <v>0</v>
      </c>
      <c r="Z1059" s="410">
        <f t="shared" si="2343" ref="Z1059">Z1058</f>
        <v>0</v>
      </c>
      <c r="AA1059" s="410">
        <f t="shared" si="2344" ref="AA1059">AA1058</f>
        <v>0</v>
      </c>
      <c r="AB1059" s="410">
        <f t="shared" si="2345" ref="AB1059">AB1058</f>
        <v>0</v>
      </c>
      <c r="AC1059" s="410">
        <f t="shared" si="2346" ref="AC1059">AC1058</f>
        <v>0</v>
      </c>
      <c r="AD1059" s="410">
        <f t="shared" si="2347" ref="AD1059">AD1058</f>
        <v>0</v>
      </c>
      <c r="AE1059" s="410">
        <f t="shared" si="2348" ref="AE1059">AE1058</f>
        <v>0</v>
      </c>
      <c r="AF1059" s="410">
        <f t="shared" si="2349" ref="AF1059">AF1058</f>
        <v>0</v>
      </c>
      <c r="AG1059" s="410">
        <f t="shared" si="2350" ref="AG1059">AG1058</f>
        <v>0</v>
      </c>
      <c r="AH1059" s="410">
        <f t="shared" si="2351" ref="AH1059">AH1058</f>
        <v>0</v>
      </c>
      <c r="AI1059" s="410">
        <f t="shared" si="2352" ref="AI1059">AI1058</f>
        <v>0</v>
      </c>
      <c r="AJ1059" s="410">
        <f t="shared" si="2353" ref="AJ1059">AJ1058</f>
        <v>0</v>
      </c>
      <c r="AK1059" s="410">
        <f t="shared" si="2354" ref="AK1059">AK1058</f>
        <v>0</v>
      </c>
      <c r="AL1059" s="410">
        <f t="shared" si="2355" ref="AL1059">AL1058</f>
        <v>0</v>
      </c>
      <c r="AM1059" s="306"/>
    </row>
    <row r="1060" spans="1:39" ht="15" customHeight="1" hidden="1" outlineLevel="1">
      <c r="A1060" s="526"/>
      <c r="B1060" s="425"/>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1"/>
      <c r="Z1060" s="422"/>
      <c r="AA1060" s="422"/>
      <c r="AB1060" s="422"/>
      <c r="AC1060" s="422"/>
      <c r="AD1060" s="422"/>
      <c r="AE1060" s="422"/>
      <c r="AF1060" s="422"/>
      <c r="AG1060" s="422"/>
      <c r="AH1060" s="422"/>
      <c r="AI1060" s="422"/>
      <c r="AJ1060" s="422"/>
      <c r="AK1060" s="422"/>
      <c r="AL1060" s="422"/>
      <c r="AM1060" s="306"/>
    </row>
    <row r="1061" spans="1:39" ht="15" customHeight="1" hidden="1" outlineLevel="1">
      <c r="A1061" s="526">
        <v>34</v>
      </c>
      <c r="B1061" s="425"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3"/>
      <c r="Z1061" s="414"/>
      <c r="AA1061" s="414"/>
      <c r="AB1061" s="414"/>
      <c r="AC1061" s="414"/>
      <c r="AD1061" s="414"/>
      <c r="AE1061" s="414"/>
      <c r="AF1061" s="414"/>
      <c r="AG1061" s="414"/>
      <c r="AH1061" s="414"/>
      <c r="AI1061" s="414"/>
      <c r="AJ1061" s="414"/>
      <c r="AK1061" s="414"/>
      <c r="AL1061" s="414"/>
      <c r="AM1061" s="296">
        <f>SUM(Y1061:AL1061)</f>
        <v>0</v>
      </c>
    </row>
    <row r="1062" spans="1:39" ht="15" customHeight="1" hidden="1" outlineLevel="1">
      <c r="A1062" s="526"/>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0">
        <f>Y1061</f>
        <v>0</v>
      </c>
      <c r="Z1062" s="410">
        <f t="shared" si="2356" ref="Z1062">Z1061</f>
        <v>0</v>
      </c>
      <c r="AA1062" s="410">
        <f t="shared" si="2357" ref="AA1062">AA1061</f>
        <v>0</v>
      </c>
      <c r="AB1062" s="410">
        <f t="shared" si="2358" ref="AB1062">AB1061</f>
        <v>0</v>
      </c>
      <c r="AC1062" s="410">
        <f t="shared" si="2359" ref="AC1062">AC1061</f>
        <v>0</v>
      </c>
      <c r="AD1062" s="410">
        <f t="shared" si="2360" ref="AD1062">AD1061</f>
        <v>0</v>
      </c>
      <c r="AE1062" s="410">
        <f t="shared" si="2361" ref="AE1062">AE1061</f>
        <v>0</v>
      </c>
      <c r="AF1062" s="410">
        <f t="shared" si="2362" ref="AF1062">AF1061</f>
        <v>0</v>
      </c>
      <c r="AG1062" s="410">
        <f t="shared" si="2363" ref="AG1062">AG1061</f>
        <v>0</v>
      </c>
      <c r="AH1062" s="410">
        <f t="shared" si="2364" ref="AH1062">AH1061</f>
        <v>0</v>
      </c>
      <c r="AI1062" s="410">
        <f t="shared" si="2365" ref="AI1062">AI1061</f>
        <v>0</v>
      </c>
      <c r="AJ1062" s="410">
        <f t="shared" si="2366" ref="AJ1062">AJ1061</f>
        <v>0</v>
      </c>
      <c r="AK1062" s="410">
        <f t="shared" si="2367" ref="AK1062">AK1061</f>
        <v>0</v>
      </c>
      <c r="AL1062" s="410">
        <f t="shared" si="2368" ref="AL1062">AL1061</f>
        <v>0</v>
      </c>
      <c r="AM1062" s="306"/>
    </row>
    <row r="1063" spans="1:39" ht="15" customHeight="1" hidden="1" outlineLevel="1">
      <c r="A1063" s="526"/>
      <c r="B1063" s="425"/>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1"/>
      <c r="Z1063" s="422"/>
      <c r="AA1063" s="422"/>
      <c r="AB1063" s="422"/>
      <c r="AC1063" s="422"/>
      <c r="AD1063" s="422"/>
      <c r="AE1063" s="422"/>
      <c r="AF1063" s="422"/>
      <c r="AG1063" s="422"/>
      <c r="AH1063" s="422"/>
      <c r="AI1063" s="422"/>
      <c r="AJ1063" s="422"/>
      <c r="AK1063" s="422"/>
      <c r="AL1063" s="422"/>
      <c r="AM1063" s="306"/>
    </row>
    <row r="1064" spans="1:39" ht="15" customHeight="1" hidden="1" outlineLevel="1">
      <c r="A1064" s="526">
        <v>35</v>
      </c>
      <c r="B1064" s="425"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3"/>
      <c r="Z1064" s="414"/>
      <c r="AA1064" s="414"/>
      <c r="AB1064" s="414"/>
      <c r="AC1064" s="414"/>
      <c r="AD1064" s="414"/>
      <c r="AE1064" s="414"/>
      <c r="AF1064" s="414"/>
      <c r="AG1064" s="414"/>
      <c r="AH1064" s="414"/>
      <c r="AI1064" s="414"/>
      <c r="AJ1064" s="414"/>
      <c r="AK1064" s="414"/>
      <c r="AL1064" s="414"/>
      <c r="AM1064" s="296">
        <f>SUM(Y1064:AL1064)</f>
        <v>0</v>
      </c>
    </row>
    <row r="1065" spans="1:39" ht="15" customHeight="1" hidden="1" outlineLevel="1">
      <c r="A1065" s="526"/>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0">
        <f>Y1064</f>
        <v>0</v>
      </c>
      <c r="Z1065" s="410">
        <f t="shared" si="2369" ref="Z1065">Z1064</f>
        <v>0</v>
      </c>
      <c r="AA1065" s="410">
        <f t="shared" si="2370" ref="AA1065">AA1064</f>
        <v>0</v>
      </c>
      <c r="AB1065" s="410">
        <f t="shared" si="2371" ref="AB1065">AB1064</f>
        <v>0</v>
      </c>
      <c r="AC1065" s="410">
        <f t="shared" si="2372" ref="AC1065">AC1064</f>
        <v>0</v>
      </c>
      <c r="AD1065" s="410">
        <f t="shared" si="2373" ref="AD1065">AD1064</f>
        <v>0</v>
      </c>
      <c r="AE1065" s="410">
        <f t="shared" si="2374" ref="AE1065">AE1064</f>
        <v>0</v>
      </c>
      <c r="AF1065" s="410">
        <f t="shared" si="2375" ref="AF1065">AF1064</f>
        <v>0</v>
      </c>
      <c r="AG1065" s="410">
        <f t="shared" si="2376" ref="AG1065">AG1064</f>
        <v>0</v>
      </c>
      <c r="AH1065" s="410">
        <f t="shared" si="2377" ref="AH1065">AH1064</f>
        <v>0</v>
      </c>
      <c r="AI1065" s="410">
        <f t="shared" si="2378" ref="AI1065">AI1064</f>
        <v>0</v>
      </c>
      <c r="AJ1065" s="410">
        <f t="shared" si="2379" ref="AJ1065">AJ1064</f>
        <v>0</v>
      </c>
      <c r="AK1065" s="410">
        <f t="shared" si="2380" ref="AK1065">AK1064</f>
        <v>0</v>
      </c>
      <c r="AL1065" s="410">
        <f t="shared" si="2381" ref="AL1065">AL1064</f>
        <v>0</v>
      </c>
      <c r="AM1065" s="306"/>
    </row>
    <row r="1066" spans="1:39" ht="15" customHeight="1" hidden="1" outlineLevel="1">
      <c r="A1066" s="526"/>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1"/>
      <c r="Z1066" s="422"/>
      <c r="AA1066" s="422"/>
      <c r="AB1066" s="422"/>
      <c r="AC1066" s="422"/>
      <c r="AD1066" s="422"/>
      <c r="AE1066" s="422"/>
      <c r="AF1066" s="422"/>
      <c r="AG1066" s="422"/>
      <c r="AH1066" s="422"/>
      <c r="AI1066" s="422"/>
      <c r="AJ1066" s="422"/>
      <c r="AK1066" s="422"/>
      <c r="AL1066" s="422"/>
      <c r="AM1066" s="306"/>
    </row>
    <row r="1067" spans="1:39" ht="15" customHeight="1" hidden="1" outlineLevel="1">
      <c r="A1067" s="526"/>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1"/>
      <c r="Z1067" s="422"/>
      <c r="AA1067" s="422"/>
      <c r="AB1067" s="422"/>
      <c r="AC1067" s="422"/>
      <c r="AD1067" s="422"/>
      <c r="AE1067" s="422"/>
      <c r="AF1067" s="422"/>
      <c r="AG1067" s="422"/>
      <c r="AH1067" s="422"/>
      <c r="AI1067" s="422"/>
      <c r="AJ1067" s="422"/>
      <c r="AK1067" s="422"/>
      <c r="AL1067" s="422"/>
      <c r="AM1067" s="306"/>
    </row>
    <row r="1068" spans="1:39" ht="28.5" customHeight="1" hidden="1" outlineLevel="1">
      <c r="A1068" s="526">
        <v>36</v>
      </c>
      <c r="B1068" s="425"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3"/>
      <c r="Z1068" s="414"/>
      <c r="AA1068" s="414"/>
      <c r="AB1068" s="414"/>
      <c r="AC1068" s="414"/>
      <c r="AD1068" s="414"/>
      <c r="AE1068" s="414"/>
      <c r="AF1068" s="414"/>
      <c r="AG1068" s="414"/>
      <c r="AH1068" s="414"/>
      <c r="AI1068" s="414"/>
      <c r="AJ1068" s="414"/>
      <c r="AK1068" s="414"/>
      <c r="AL1068" s="414"/>
      <c r="AM1068" s="296">
        <f>SUM(Y1068:AL1068)</f>
        <v>0</v>
      </c>
    </row>
    <row r="1069" spans="1:39" ht="15" customHeight="1" hidden="1" outlineLevel="1">
      <c r="A1069" s="526"/>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0">
        <f>Y1068</f>
        <v>0</v>
      </c>
      <c r="Z1069" s="410">
        <f t="shared" si="2382" ref="Z1069">Z1068</f>
        <v>0</v>
      </c>
      <c r="AA1069" s="410">
        <f t="shared" si="2383" ref="AA1069">AA1068</f>
        <v>0</v>
      </c>
      <c r="AB1069" s="410">
        <f t="shared" si="2384" ref="AB1069">AB1068</f>
        <v>0</v>
      </c>
      <c r="AC1069" s="410">
        <f t="shared" si="2385" ref="AC1069">AC1068</f>
        <v>0</v>
      </c>
      <c r="AD1069" s="410">
        <f t="shared" si="2386" ref="AD1069">AD1068</f>
        <v>0</v>
      </c>
      <c r="AE1069" s="410">
        <f t="shared" si="2387" ref="AE1069">AE1068</f>
        <v>0</v>
      </c>
      <c r="AF1069" s="410">
        <f t="shared" si="2388" ref="AF1069">AF1068</f>
        <v>0</v>
      </c>
      <c r="AG1069" s="410">
        <f t="shared" si="2389" ref="AG1069">AG1068</f>
        <v>0</v>
      </c>
      <c r="AH1069" s="410">
        <f t="shared" si="2390" ref="AH1069">AH1068</f>
        <v>0</v>
      </c>
      <c r="AI1069" s="410">
        <f t="shared" si="2391" ref="AI1069">AI1068</f>
        <v>0</v>
      </c>
      <c r="AJ1069" s="410">
        <f t="shared" si="2392" ref="AJ1069">AJ1068</f>
        <v>0</v>
      </c>
      <c r="AK1069" s="410">
        <f t="shared" si="2393" ref="AK1069">AK1068</f>
        <v>0</v>
      </c>
      <c r="AL1069" s="410">
        <f t="shared" si="2394" ref="AL1069">AL1068</f>
        <v>0</v>
      </c>
      <c r="AM1069" s="306"/>
    </row>
    <row r="1070" spans="1:39" ht="15" customHeight="1" hidden="1" outlineLevel="1">
      <c r="A1070" s="526"/>
      <c r="B1070" s="425"/>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1"/>
      <c r="Z1070" s="422"/>
      <c r="AA1070" s="422"/>
      <c r="AB1070" s="422"/>
      <c r="AC1070" s="422"/>
      <c r="AD1070" s="422"/>
      <c r="AE1070" s="422"/>
      <c r="AF1070" s="422"/>
      <c r="AG1070" s="422"/>
      <c r="AH1070" s="422"/>
      <c r="AI1070" s="422"/>
      <c r="AJ1070" s="422"/>
      <c r="AK1070" s="422"/>
      <c r="AL1070" s="422"/>
      <c r="AM1070" s="306"/>
    </row>
    <row r="1071" spans="1:39" ht="15" customHeight="1" hidden="1" outlineLevel="1">
      <c r="A1071" s="526">
        <v>37</v>
      </c>
      <c r="B1071" s="425"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3"/>
      <c r="Z1071" s="414"/>
      <c r="AA1071" s="414"/>
      <c r="AB1071" s="414"/>
      <c r="AC1071" s="414"/>
      <c r="AD1071" s="414"/>
      <c r="AE1071" s="414"/>
      <c r="AF1071" s="414"/>
      <c r="AG1071" s="414"/>
      <c r="AH1071" s="414"/>
      <c r="AI1071" s="414"/>
      <c r="AJ1071" s="414"/>
      <c r="AK1071" s="414"/>
      <c r="AL1071" s="414"/>
      <c r="AM1071" s="296">
        <f>SUM(Y1071:AL1071)</f>
        <v>0</v>
      </c>
    </row>
    <row r="1072" spans="1:39" ht="15" customHeight="1" hidden="1" outlineLevel="1">
      <c r="A1072" s="526"/>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0">
        <f>Y1071</f>
        <v>0</v>
      </c>
      <c r="Z1072" s="410">
        <f t="shared" si="2395" ref="Z1072">Z1071</f>
        <v>0</v>
      </c>
      <c r="AA1072" s="410">
        <f t="shared" si="2396" ref="AA1072">AA1071</f>
        <v>0</v>
      </c>
      <c r="AB1072" s="410">
        <f t="shared" si="2397" ref="AB1072">AB1071</f>
        <v>0</v>
      </c>
      <c r="AC1072" s="410">
        <f t="shared" si="2398" ref="AC1072">AC1071</f>
        <v>0</v>
      </c>
      <c r="AD1072" s="410">
        <f t="shared" si="2399" ref="AD1072">AD1071</f>
        <v>0</v>
      </c>
      <c r="AE1072" s="410">
        <f t="shared" si="2400" ref="AE1072">AE1071</f>
        <v>0</v>
      </c>
      <c r="AF1072" s="410">
        <f t="shared" si="2401" ref="AF1072">AF1071</f>
        <v>0</v>
      </c>
      <c r="AG1072" s="410">
        <f t="shared" si="2402" ref="AG1072">AG1071</f>
        <v>0</v>
      </c>
      <c r="AH1072" s="410">
        <f t="shared" si="2403" ref="AH1072">AH1071</f>
        <v>0</v>
      </c>
      <c r="AI1072" s="410">
        <f t="shared" si="2404" ref="AI1072">AI1071</f>
        <v>0</v>
      </c>
      <c r="AJ1072" s="410">
        <f t="shared" si="2405" ref="AJ1072">AJ1071</f>
        <v>0</v>
      </c>
      <c r="AK1072" s="410">
        <f t="shared" si="2406" ref="AK1072">AK1071</f>
        <v>0</v>
      </c>
      <c r="AL1072" s="410">
        <f t="shared" si="2407" ref="AL1072">AL1071</f>
        <v>0</v>
      </c>
      <c r="AM1072" s="306"/>
    </row>
    <row r="1073" spans="1:39" ht="15" customHeight="1" hidden="1" outlineLevel="1">
      <c r="A1073" s="526"/>
      <c r="B1073" s="425"/>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1"/>
      <c r="Z1073" s="422"/>
      <c r="AA1073" s="422"/>
      <c r="AB1073" s="422"/>
      <c r="AC1073" s="422"/>
      <c r="AD1073" s="422"/>
      <c r="AE1073" s="422"/>
      <c r="AF1073" s="422"/>
      <c r="AG1073" s="422"/>
      <c r="AH1073" s="422"/>
      <c r="AI1073" s="422"/>
      <c r="AJ1073" s="422"/>
      <c r="AK1073" s="422"/>
      <c r="AL1073" s="422"/>
      <c r="AM1073" s="306"/>
    </row>
    <row r="1074" spans="1:39" ht="15" customHeight="1" hidden="1" outlineLevel="1">
      <c r="A1074" s="526">
        <v>38</v>
      </c>
      <c r="B1074" s="425"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3"/>
      <c r="Z1074" s="414"/>
      <c r="AA1074" s="414"/>
      <c r="AB1074" s="414"/>
      <c r="AC1074" s="414"/>
      <c r="AD1074" s="414"/>
      <c r="AE1074" s="414"/>
      <c r="AF1074" s="414"/>
      <c r="AG1074" s="414"/>
      <c r="AH1074" s="414"/>
      <c r="AI1074" s="414"/>
      <c r="AJ1074" s="414"/>
      <c r="AK1074" s="414"/>
      <c r="AL1074" s="414"/>
      <c r="AM1074" s="296">
        <f>SUM(Y1074:AL1074)</f>
        <v>0</v>
      </c>
    </row>
    <row r="1075" spans="1:39" ht="15" customHeight="1" hidden="1" outlineLevel="1">
      <c r="A1075" s="526"/>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0">
        <f>Y1074</f>
        <v>0</v>
      </c>
      <c r="Z1075" s="410">
        <f t="shared" si="2408" ref="Z1075">Z1074</f>
        <v>0</v>
      </c>
      <c r="AA1075" s="410">
        <f t="shared" si="2409" ref="AA1075">AA1074</f>
        <v>0</v>
      </c>
      <c r="AB1075" s="410">
        <f t="shared" si="2410" ref="AB1075">AB1074</f>
        <v>0</v>
      </c>
      <c r="AC1075" s="410">
        <f t="shared" si="2411" ref="AC1075">AC1074</f>
        <v>0</v>
      </c>
      <c r="AD1075" s="410">
        <f t="shared" si="2412" ref="AD1075">AD1074</f>
        <v>0</v>
      </c>
      <c r="AE1075" s="410">
        <f t="shared" si="2413" ref="AE1075">AE1074</f>
        <v>0</v>
      </c>
      <c r="AF1075" s="410">
        <f t="shared" si="2414" ref="AF1075">AF1074</f>
        <v>0</v>
      </c>
      <c r="AG1075" s="410">
        <f t="shared" si="2415" ref="AG1075">AG1074</f>
        <v>0</v>
      </c>
      <c r="AH1075" s="410">
        <f t="shared" si="2416" ref="AH1075">AH1074</f>
        <v>0</v>
      </c>
      <c r="AI1075" s="410">
        <f t="shared" si="2417" ref="AI1075">AI1074</f>
        <v>0</v>
      </c>
      <c r="AJ1075" s="410">
        <f t="shared" si="2418" ref="AJ1075">AJ1074</f>
        <v>0</v>
      </c>
      <c r="AK1075" s="410">
        <f t="shared" si="2419" ref="AK1075">AK1074</f>
        <v>0</v>
      </c>
      <c r="AL1075" s="410">
        <f t="shared" si="2420" ref="AL1075">AL1074</f>
        <v>0</v>
      </c>
      <c r="AM1075" s="306"/>
    </row>
    <row r="1076" spans="1:39" ht="15" customHeight="1" hidden="1" outlineLevel="1">
      <c r="A1076" s="526"/>
      <c r="B1076" s="425"/>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1"/>
      <c r="Z1076" s="422"/>
      <c r="AA1076" s="422"/>
      <c r="AB1076" s="422"/>
      <c r="AC1076" s="422"/>
      <c r="AD1076" s="422"/>
      <c r="AE1076" s="422"/>
      <c r="AF1076" s="422"/>
      <c r="AG1076" s="422"/>
      <c r="AH1076" s="422"/>
      <c r="AI1076" s="422"/>
      <c r="AJ1076" s="422"/>
      <c r="AK1076" s="422"/>
      <c r="AL1076" s="422"/>
      <c r="AM1076" s="306"/>
    </row>
    <row r="1077" spans="1:39" ht="15" customHeight="1" hidden="1" outlineLevel="1">
      <c r="A1077" s="526">
        <v>39</v>
      </c>
      <c r="B1077" s="425"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3"/>
      <c r="Z1077" s="414"/>
      <c r="AA1077" s="414"/>
      <c r="AB1077" s="414"/>
      <c r="AC1077" s="414"/>
      <c r="AD1077" s="414"/>
      <c r="AE1077" s="414"/>
      <c r="AF1077" s="414"/>
      <c r="AG1077" s="414"/>
      <c r="AH1077" s="414"/>
      <c r="AI1077" s="414"/>
      <c r="AJ1077" s="414"/>
      <c r="AK1077" s="414"/>
      <c r="AL1077" s="414"/>
      <c r="AM1077" s="296">
        <f>SUM(Y1077:AL1077)</f>
        <v>0</v>
      </c>
    </row>
    <row r="1078" spans="1:39" ht="15" customHeight="1" hidden="1" outlineLevel="1">
      <c r="A1078" s="526"/>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0">
        <f>Y1077</f>
        <v>0</v>
      </c>
      <c r="Z1078" s="410">
        <f t="shared" si="2421" ref="Z1078">Z1077</f>
        <v>0</v>
      </c>
      <c r="AA1078" s="410">
        <f t="shared" si="2422" ref="AA1078">AA1077</f>
        <v>0</v>
      </c>
      <c r="AB1078" s="410">
        <f t="shared" si="2423" ref="AB1078">AB1077</f>
        <v>0</v>
      </c>
      <c r="AC1078" s="410">
        <f t="shared" si="2424" ref="AC1078">AC1077</f>
        <v>0</v>
      </c>
      <c r="AD1078" s="410">
        <f t="shared" si="2425" ref="AD1078">AD1077</f>
        <v>0</v>
      </c>
      <c r="AE1078" s="410">
        <f t="shared" si="2426" ref="AE1078">AE1077</f>
        <v>0</v>
      </c>
      <c r="AF1078" s="410">
        <f t="shared" si="2427" ref="AF1078">AF1077</f>
        <v>0</v>
      </c>
      <c r="AG1078" s="410">
        <f t="shared" si="2428" ref="AG1078">AG1077</f>
        <v>0</v>
      </c>
      <c r="AH1078" s="410">
        <f t="shared" si="2429" ref="AH1078">AH1077</f>
        <v>0</v>
      </c>
      <c r="AI1078" s="410">
        <f t="shared" si="2430" ref="AI1078">AI1077</f>
        <v>0</v>
      </c>
      <c r="AJ1078" s="410">
        <f t="shared" si="2431" ref="AJ1078">AJ1077</f>
        <v>0</v>
      </c>
      <c r="AK1078" s="410">
        <f t="shared" si="2432" ref="AK1078">AK1077</f>
        <v>0</v>
      </c>
      <c r="AL1078" s="410">
        <f t="shared" si="2433" ref="AL1078">AL1077</f>
        <v>0</v>
      </c>
      <c r="AM1078" s="306"/>
    </row>
    <row r="1079" spans="1:39" ht="15" customHeight="1" hidden="1" outlineLevel="1">
      <c r="A1079" s="526"/>
      <c r="B1079" s="425"/>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1"/>
      <c r="Z1079" s="422"/>
      <c r="AA1079" s="422"/>
      <c r="AB1079" s="422"/>
      <c r="AC1079" s="422"/>
      <c r="AD1079" s="422"/>
      <c r="AE1079" s="422"/>
      <c r="AF1079" s="422"/>
      <c r="AG1079" s="422"/>
      <c r="AH1079" s="422"/>
      <c r="AI1079" s="422"/>
      <c r="AJ1079" s="422"/>
      <c r="AK1079" s="422"/>
      <c r="AL1079" s="422"/>
      <c r="AM1079" s="306"/>
    </row>
    <row r="1080" spans="1:39" ht="15" customHeight="1" hidden="1" outlineLevel="1">
      <c r="A1080" s="526">
        <v>40</v>
      </c>
      <c r="B1080" s="425"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3"/>
      <c r="Z1080" s="414"/>
      <c r="AA1080" s="414"/>
      <c r="AB1080" s="414"/>
      <c r="AC1080" s="414"/>
      <c r="AD1080" s="414"/>
      <c r="AE1080" s="414"/>
      <c r="AF1080" s="414"/>
      <c r="AG1080" s="414"/>
      <c r="AH1080" s="414"/>
      <c r="AI1080" s="414"/>
      <c r="AJ1080" s="414"/>
      <c r="AK1080" s="414"/>
      <c r="AL1080" s="414"/>
      <c r="AM1080" s="296">
        <f>SUM(Y1080:AL1080)</f>
        <v>0</v>
      </c>
    </row>
    <row r="1081" spans="1:39" ht="15" customHeight="1" hidden="1" outlineLevel="1">
      <c r="A1081" s="526"/>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0">
        <f>Y1080</f>
        <v>0</v>
      </c>
      <c r="Z1081" s="410">
        <f t="shared" si="2434" ref="Z1081">Z1080</f>
        <v>0</v>
      </c>
      <c r="AA1081" s="410">
        <f t="shared" si="2435" ref="AA1081">AA1080</f>
        <v>0</v>
      </c>
      <c r="AB1081" s="410">
        <f t="shared" si="2436" ref="AB1081">AB1080</f>
        <v>0</v>
      </c>
      <c r="AC1081" s="410">
        <f t="shared" si="2437" ref="AC1081">AC1080</f>
        <v>0</v>
      </c>
      <c r="AD1081" s="410">
        <f t="shared" si="2438" ref="AD1081">AD1080</f>
        <v>0</v>
      </c>
      <c r="AE1081" s="410">
        <f t="shared" si="2439" ref="AE1081">AE1080</f>
        <v>0</v>
      </c>
      <c r="AF1081" s="410">
        <f t="shared" si="2440" ref="AF1081">AF1080</f>
        <v>0</v>
      </c>
      <c r="AG1081" s="410">
        <f t="shared" si="2441" ref="AG1081">AG1080</f>
        <v>0</v>
      </c>
      <c r="AH1081" s="410">
        <f t="shared" si="2442" ref="AH1081">AH1080</f>
        <v>0</v>
      </c>
      <c r="AI1081" s="410">
        <f t="shared" si="2443" ref="AI1081">AI1080</f>
        <v>0</v>
      </c>
      <c r="AJ1081" s="410">
        <f t="shared" si="2444" ref="AJ1081">AJ1080</f>
        <v>0</v>
      </c>
      <c r="AK1081" s="410">
        <f t="shared" si="2445" ref="AK1081">AK1080</f>
        <v>0</v>
      </c>
      <c r="AL1081" s="410">
        <f t="shared" si="2446" ref="AL1081">AL1080</f>
        <v>0</v>
      </c>
      <c r="AM1081" s="306"/>
    </row>
    <row r="1082" spans="1:39" ht="15" customHeight="1" hidden="1" outlineLevel="1">
      <c r="A1082" s="526"/>
      <c r="B1082" s="425"/>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1"/>
      <c r="Z1082" s="422"/>
      <c r="AA1082" s="422"/>
      <c r="AB1082" s="422"/>
      <c r="AC1082" s="422"/>
      <c r="AD1082" s="422"/>
      <c r="AE1082" s="422"/>
      <c r="AF1082" s="422"/>
      <c r="AG1082" s="422"/>
      <c r="AH1082" s="422"/>
      <c r="AI1082" s="422"/>
      <c r="AJ1082" s="422"/>
      <c r="AK1082" s="422"/>
      <c r="AL1082" s="422"/>
      <c r="AM1082" s="306"/>
    </row>
    <row r="1083" spans="1:39" ht="28.5" customHeight="1" hidden="1" outlineLevel="1">
      <c r="A1083" s="526">
        <v>41</v>
      </c>
      <c r="B1083" s="425"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3"/>
      <c r="Z1083" s="414"/>
      <c r="AA1083" s="414"/>
      <c r="AB1083" s="414"/>
      <c r="AC1083" s="414"/>
      <c r="AD1083" s="414"/>
      <c r="AE1083" s="414"/>
      <c r="AF1083" s="414"/>
      <c r="AG1083" s="414"/>
      <c r="AH1083" s="414"/>
      <c r="AI1083" s="414"/>
      <c r="AJ1083" s="414"/>
      <c r="AK1083" s="414"/>
      <c r="AL1083" s="414"/>
      <c r="AM1083" s="296">
        <f>SUM(Y1083:AL1083)</f>
        <v>0</v>
      </c>
    </row>
    <row r="1084" spans="1:39" ht="15" customHeight="1" hidden="1" outlineLevel="1">
      <c r="A1084" s="526"/>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0">
        <f>Y1083</f>
        <v>0</v>
      </c>
      <c r="Z1084" s="410">
        <f t="shared" si="2447" ref="Z1084">Z1083</f>
        <v>0</v>
      </c>
      <c r="AA1084" s="410">
        <f t="shared" si="2448" ref="AA1084">AA1083</f>
        <v>0</v>
      </c>
      <c r="AB1084" s="410">
        <f t="shared" si="2449" ref="AB1084">AB1083</f>
        <v>0</v>
      </c>
      <c r="AC1084" s="410">
        <f t="shared" si="2450" ref="AC1084">AC1083</f>
        <v>0</v>
      </c>
      <c r="AD1084" s="410">
        <f t="shared" si="2451" ref="AD1084">AD1083</f>
        <v>0</v>
      </c>
      <c r="AE1084" s="410">
        <f t="shared" si="2452" ref="AE1084">AE1083</f>
        <v>0</v>
      </c>
      <c r="AF1084" s="410">
        <f t="shared" si="2453" ref="AF1084">AF1083</f>
        <v>0</v>
      </c>
      <c r="AG1084" s="410">
        <f t="shared" si="2454" ref="AG1084">AG1083</f>
        <v>0</v>
      </c>
      <c r="AH1084" s="410">
        <f t="shared" si="2455" ref="AH1084">AH1083</f>
        <v>0</v>
      </c>
      <c r="AI1084" s="410">
        <f t="shared" si="2456" ref="AI1084">AI1083</f>
        <v>0</v>
      </c>
      <c r="AJ1084" s="410">
        <f t="shared" si="2457" ref="AJ1084">AJ1083</f>
        <v>0</v>
      </c>
      <c r="AK1084" s="410">
        <f t="shared" si="2458" ref="AK1084">AK1083</f>
        <v>0</v>
      </c>
      <c r="AL1084" s="410">
        <f t="shared" si="2459" ref="AL1084">AL1083</f>
        <v>0</v>
      </c>
      <c r="AM1084" s="306"/>
    </row>
    <row r="1085" spans="1:39" ht="15" customHeight="1" hidden="1" outlineLevel="1">
      <c r="A1085" s="526"/>
      <c r="B1085" s="425"/>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1"/>
      <c r="Z1085" s="422"/>
      <c r="AA1085" s="422"/>
      <c r="AB1085" s="422"/>
      <c r="AC1085" s="422"/>
      <c r="AD1085" s="422"/>
      <c r="AE1085" s="422"/>
      <c r="AF1085" s="422"/>
      <c r="AG1085" s="422"/>
      <c r="AH1085" s="422"/>
      <c r="AI1085" s="422"/>
      <c r="AJ1085" s="422"/>
      <c r="AK1085" s="422"/>
      <c r="AL1085" s="422"/>
      <c r="AM1085" s="306"/>
    </row>
    <row r="1086" spans="1:39" ht="28.5" customHeight="1" hidden="1" outlineLevel="1">
      <c r="A1086" s="526">
        <v>42</v>
      </c>
      <c r="B1086" s="425"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3"/>
      <c r="Z1086" s="414"/>
      <c r="AA1086" s="414"/>
      <c r="AB1086" s="414"/>
      <c r="AC1086" s="414"/>
      <c r="AD1086" s="414"/>
      <c r="AE1086" s="414"/>
      <c r="AF1086" s="414"/>
      <c r="AG1086" s="414"/>
      <c r="AH1086" s="414"/>
      <c r="AI1086" s="414"/>
      <c r="AJ1086" s="414"/>
      <c r="AK1086" s="414"/>
      <c r="AL1086" s="414"/>
      <c r="AM1086" s="296">
        <f>SUM(Y1086:AL1086)</f>
        <v>0</v>
      </c>
    </row>
    <row r="1087" spans="1:39" ht="15" customHeight="1" hidden="1" outlineLevel="1">
      <c r="A1087" s="526"/>
      <c r="B1087" s="294" t="s">
        <v>346</v>
      </c>
      <c r="C1087" s="291" t="s">
        <v>163</v>
      </c>
      <c r="D1087" s="295"/>
      <c r="E1087" s="295"/>
      <c r="F1087" s="295"/>
      <c r="G1087" s="295"/>
      <c r="H1087" s="295"/>
      <c r="I1087" s="295"/>
      <c r="J1087" s="295"/>
      <c r="K1087" s="295"/>
      <c r="L1087" s="295"/>
      <c r="M1087" s="295"/>
      <c r="N1087" s="464"/>
      <c r="O1087" s="295"/>
      <c r="P1087" s="295"/>
      <c r="Q1087" s="295"/>
      <c r="R1087" s="295"/>
      <c r="S1087" s="295"/>
      <c r="T1087" s="295"/>
      <c r="U1087" s="295"/>
      <c r="V1087" s="295"/>
      <c r="W1087" s="295"/>
      <c r="X1087" s="295"/>
      <c r="Y1087" s="410">
        <f>Y1086</f>
        <v>0</v>
      </c>
      <c r="Z1087" s="410">
        <f t="shared" si="2460" ref="Z1087">Z1086</f>
        <v>0</v>
      </c>
      <c r="AA1087" s="410">
        <f t="shared" si="2461" ref="AA1087">AA1086</f>
        <v>0</v>
      </c>
      <c r="AB1087" s="410">
        <f t="shared" si="2462" ref="AB1087">AB1086</f>
        <v>0</v>
      </c>
      <c r="AC1087" s="410">
        <f t="shared" si="2463" ref="AC1087">AC1086</f>
        <v>0</v>
      </c>
      <c r="AD1087" s="410">
        <f t="shared" si="2464" ref="AD1087">AD1086</f>
        <v>0</v>
      </c>
      <c r="AE1087" s="410">
        <f t="shared" si="2465" ref="AE1087">AE1086</f>
        <v>0</v>
      </c>
      <c r="AF1087" s="410">
        <f t="shared" si="2466" ref="AF1087">AF1086</f>
        <v>0</v>
      </c>
      <c r="AG1087" s="410">
        <f t="shared" si="2467" ref="AG1087">AG1086</f>
        <v>0</v>
      </c>
      <c r="AH1087" s="410">
        <f t="shared" si="2468" ref="AH1087">AH1086</f>
        <v>0</v>
      </c>
      <c r="AI1087" s="410">
        <f t="shared" si="2469" ref="AI1087">AI1086</f>
        <v>0</v>
      </c>
      <c r="AJ1087" s="410">
        <f t="shared" si="2470" ref="AJ1087">AJ1086</f>
        <v>0</v>
      </c>
      <c r="AK1087" s="410">
        <f t="shared" si="2471" ref="AK1087">AK1086</f>
        <v>0</v>
      </c>
      <c r="AL1087" s="410">
        <f t="shared" si="2472" ref="AL1087">AL1086</f>
        <v>0</v>
      </c>
      <c r="AM1087" s="306"/>
    </row>
    <row r="1088" spans="1:39" ht="15" customHeight="1" hidden="1" outlineLevel="1">
      <c r="A1088" s="526"/>
      <c r="B1088" s="425"/>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1"/>
      <c r="Z1088" s="422"/>
      <c r="AA1088" s="422"/>
      <c r="AB1088" s="422"/>
      <c r="AC1088" s="422"/>
      <c r="AD1088" s="422"/>
      <c r="AE1088" s="422"/>
      <c r="AF1088" s="422"/>
      <c r="AG1088" s="422"/>
      <c r="AH1088" s="422"/>
      <c r="AI1088" s="422"/>
      <c r="AJ1088" s="422"/>
      <c r="AK1088" s="422"/>
      <c r="AL1088" s="422"/>
      <c r="AM1088" s="306"/>
    </row>
    <row r="1089" spans="1:39" ht="15" customHeight="1" hidden="1" outlineLevel="1">
      <c r="A1089" s="526">
        <v>43</v>
      </c>
      <c r="B1089" s="425"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3"/>
      <c r="Z1089" s="414"/>
      <c r="AA1089" s="414"/>
      <c r="AB1089" s="414"/>
      <c r="AC1089" s="414"/>
      <c r="AD1089" s="414"/>
      <c r="AE1089" s="414"/>
      <c r="AF1089" s="414"/>
      <c r="AG1089" s="414"/>
      <c r="AH1089" s="414"/>
      <c r="AI1089" s="414"/>
      <c r="AJ1089" s="414"/>
      <c r="AK1089" s="414"/>
      <c r="AL1089" s="414"/>
      <c r="AM1089" s="296">
        <f>SUM(Y1089:AL1089)</f>
        <v>0</v>
      </c>
    </row>
    <row r="1090" spans="1:39" ht="15" customHeight="1" hidden="1" outlineLevel="1">
      <c r="A1090" s="526"/>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0">
        <f>Y1089</f>
        <v>0</v>
      </c>
      <c r="Z1090" s="410">
        <f t="shared" si="2473" ref="Z1090">Z1089</f>
        <v>0</v>
      </c>
      <c r="AA1090" s="410">
        <f t="shared" si="2474" ref="AA1090">AA1089</f>
        <v>0</v>
      </c>
      <c r="AB1090" s="410">
        <f t="shared" si="2475" ref="AB1090">AB1089</f>
        <v>0</v>
      </c>
      <c r="AC1090" s="410">
        <f t="shared" si="2476" ref="AC1090">AC1089</f>
        <v>0</v>
      </c>
      <c r="AD1090" s="410">
        <f t="shared" si="2477" ref="AD1090">AD1089</f>
        <v>0</v>
      </c>
      <c r="AE1090" s="410">
        <f t="shared" si="2478" ref="AE1090">AE1089</f>
        <v>0</v>
      </c>
      <c r="AF1090" s="410">
        <f t="shared" si="2479" ref="AF1090">AF1089</f>
        <v>0</v>
      </c>
      <c r="AG1090" s="410">
        <f t="shared" si="2480" ref="AG1090">AG1089</f>
        <v>0</v>
      </c>
      <c r="AH1090" s="410">
        <f t="shared" si="2481" ref="AH1090">AH1089</f>
        <v>0</v>
      </c>
      <c r="AI1090" s="410">
        <f t="shared" si="2482" ref="AI1090">AI1089</f>
        <v>0</v>
      </c>
      <c r="AJ1090" s="410">
        <f t="shared" si="2483" ref="AJ1090">AJ1089</f>
        <v>0</v>
      </c>
      <c r="AK1090" s="410">
        <f t="shared" si="2484" ref="AK1090">AK1089</f>
        <v>0</v>
      </c>
      <c r="AL1090" s="410">
        <f t="shared" si="2485" ref="AL1090">AL1089</f>
        <v>0</v>
      </c>
      <c r="AM1090" s="306"/>
    </row>
    <row r="1091" spans="1:39" ht="15" customHeight="1" hidden="1" outlineLevel="1">
      <c r="A1091" s="526"/>
      <c r="B1091" s="425"/>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1"/>
      <c r="Z1091" s="422"/>
      <c r="AA1091" s="422"/>
      <c r="AB1091" s="422"/>
      <c r="AC1091" s="422"/>
      <c r="AD1091" s="422"/>
      <c r="AE1091" s="422"/>
      <c r="AF1091" s="422"/>
      <c r="AG1091" s="422"/>
      <c r="AH1091" s="422"/>
      <c r="AI1091" s="422"/>
      <c r="AJ1091" s="422"/>
      <c r="AK1091" s="422"/>
      <c r="AL1091" s="422"/>
      <c r="AM1091" s="306"/>
    </row>
    <row r="1092" spans="1:39" ht="28.5" customHeight="1" hidden="1" outlineLevel="1">
      <c r="A1092" s="526">
        <v>44</v>
      </c>
      <c r="B1092" s="425"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3"/>
      <c r="Z1092" s="414"/>
      <c r="AA1092" s="414"/>
      <c r="AB1092" s="414"/>
      <c r="AC1092" s="414"/>
      <c r="AD1092" s="414"/>
      <c r="AE1092" s="414"/>
      <c r="AF1092" s="414"/>
      <c r="AG1092" s="414"/>
      <c r="AH1092" s="414"/>
      <c r="AI1092" s="414"/>
      <c r="AJ1092" s="414"/>
      <c r="AK1092" s="414"/>
      <c r="AL1092" s="414"/>
      <c r="AM1092" s="296">
        <f>SUM(Y1092:AL1092)</f>
        <v>0</v>
      </c>
    </row>
    <row r="1093" spans="1:39" ht="15" customHeight="1" hidden="1" outlineLevel="1">
      <c r="A1093" s="526"/>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0">
        <f>Y1092</f>
        <v>0</v>
      </c>
      <c r="Z1093" s="410">
        <f t="shared" si="2486" ref="Z1093">Z1092</f>
        <v>0</v>
      </c>
      <c r="AA1093" s="410">
        <f t="shared" si="2487" ref="AA1093">AA1092</f>
        <v>0</v>
      </c>
      <c r="AB1093" s="410">
        <f t="shared" si="2488" ref="AB1093">AB1092</f>
        <v>0</v>
      </c>
      <c r="AC1093" s="410">
        <f t="shared" si="2489" ref="AC1093">AC1092</f>
        <v>0</v>
      </c>
      <c r="AD1093" s="410">
        <f t="shared" si="2490" ref="AD1093">AD1092</f>
        <v>0</v>
      </c>
      <c r="AE1093" s="410">
        <f t="shared" si="2491" ref="AE1093">AE1092</f>
        <v>0</v>
      </c>
      <c r="AF1093" s="410">
        <f t="shared" si="2492" ref="AF1093">AF1092</f>
        <v>0</v>
      </c>
      <c r="AG1093" s="410">
        <f t="shared" si="2493" ref="AG1093">AG1092</f>
        <v>0</v>
      </c>
      <c r="AH1093" s="410">
        <f t="shared" si="2494" ref="AH1093">AH1092</f>
        <v>0</v>
      </c>
      <c r="AI1093" s="410">
        <f t="shared" si="2495" ref="AI1093">AI1092</f>
        <v>0</v>
      </c>
      <c r="AJ1093" s="410">
        <f t="shared" si="2496" ref="AJ1093">AJ1092</f>
        <v>0</v>
      </c>
      <c r="AK1093" s="410">
        <f t="shared" si="2497" ref="AK1093">AK1092</f>
        <v>0</v>
      </c>
      <c r="AL1093" s="410">
        <f t="shared" si="2498" ref="AL1093">AL1092</f>
        <v>0</v>
      </c>
      <c r="AM1093" s="306"/>
    </row>
    <row r="1094" spans="1:39" ht="15" customHeight="1" hidden="1" outlineLevel="1">
      <c r="A1094" s="526"/>
      <c r="B1094" s="425"/>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1"/>
      <c r="Z1094" s="422"/>
      <c r="AA1094" s="422"/>
      <c r="AB1094" s="422"/>
      <c r="AC1094" s="422"/>
      <c r="AD1094" s="422"/>
      <c r="AE1094" s="422"/>
      <c r="AF1094" s="422"/>
      <c r="AG1094" s="422"/>
      <c r="AH1094" s="422"/>
      <c r="AI1094" s="422"/>
      <c r="AJ1094" s="422"/>
      <c r="AK1094" s="422"/>
      <c r="AL1094" s="422"/>
      <c r="AM1094" s="306"/>
    </row>
    <row r="1095" spans="1:39" ht="32.4" customHeight="1" hidden="1" outlineLevel="1">
      <c r="A1095" s="526">
        <v>45</v>
      </c>
      <c r="B1095" s="425"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3"/>
      <c r="Z1095" s="414"/>
      <c r="AA1095" s="414"/>
      <c r="AB1095" s="414"/>
      <c r="AC1095" s="414"/>
      <c r="AD1095" s="414"/>
      <c r="AE1095" s="414"/>
      <c r="AF1095" s="414"/>
      <c r="AG1095" s="414"/>
      <c r="AH1095" s="414"/>
      <c r="AI1095" s="414"/>
      <c r="AJ1095" s="414"/>
      <c r="AK1095" s="414"/>
      <c r="AL1095" s="414"/>
      <c r="AM1095" s="296">
        <f>SUM(Y1095:AL1095)</f>
        <v>0</v>
      </c>
    </row>
    <row r="1096" spans="1:39" ht="15" customHeight="1" hidden="1" outlineLevel="1">
      <c r="A1096" s="526"/>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0">
        <f>Y1095</f>
        <v>0</v>
      </c>
      <c r="Z1096" s="410">
        <f t="shared" si="2499" ref="Z1096">Z1095</f>
        <v>0</v>
      </c>
      <c r="AA1096" s="410">
        <f t="shared" si="2500" ref="AA1096">AA1095</f>
        <v>0</v>
      </c>
      <c r="AB1096" s="410">
        <f t="shared" si="2501" ref="AB1096">AB1095</f>
        <v>0</v>
      </c>
      <c r="AC1096" s="410">
        <f t="shared" si="2502" ref="AC1096">AC1095</f>
        <v>0</v>
      </c>
      <c r="AD1096" s="410">
        <f t="shared" si="2503" ref="AD1096">AD1095</f>
        <v>0</v>
      </c>
      <c r="AE1096" s="410">
        <f t="shared" si="2504" ref="AE1096">AE1095</f>
        <v>0</v>
      </c>
      <c r="AF1096" s="410">
        <f t="shared" si="2505" ref="AF1096">AF1095</f>
        <v>0</v>
      </c>
      <c r="AG1096" s="410">
        <f t="shared" si="2506" ref="AG1096">AG1095</f>
        <v>0</v>
      </c>
      <c r="AH1096" s="410">
        <f t="shared" si="2507" ref="AH1096">AH1095</f>
        <v>0</v>
      </c>
      <c r="AI1096" s="410">
        <f t="shared" si="2508" ref="AI1096">AI1095</f>
        <v>0</v>
      </c>
      <c r="AJ1096" s="410">
        <f t="shared" si="2509" ref="AJ1096">AJ1095</f>
        <v>0</v>
      </c>
      <c r="AK1096" s="410">
        <f t="shared" si="2510" ref="AK1096">AK1095</f>
        <v>0</v>
      </c>
      <c r="AL1096" s="410">
        <f t="shared" si="2511" ref="AL1096">AL1095</f>
        <v>0</v>
      </c>
      <c r="AM1096" s="306"/>
    </row>
    <row r="1097" spans="1:39" ht="15" customHeight="1" hidden="1" outlineLevel="1">
      <c r="A1097" s="526"/>
      <c r="B1097" s="425"/>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1"/>
      <c r="Z1097" s="422"/>
      <c r="AA1097" s="422"/>
      <c r="AB1097" s="422"/>
      <c r="AC1097" s="422"/>
      <c r="AD1097" s="422"/>
      <c r="AE1097" s="422"/>
      <c r="AF1097" s="422"/>
      <c r="AG1097" s="422"/>
      <c r="AH1097" s="422"/>
      <c r="AI1097" s="422"/>
      <c r="AJ1097" s="422"/>
      <c r="AK1097" s="422"/>
      <c r="AL1097" s="422"/>
      <c r="AM1097" s="306"/>
    </row>
    <row r="1098" spans="1:39" ht="32.15" customHeight="1" hidden="1" outlineLevel="1">
      <c r="A1098" s="526">
        <v>46</v>
      </c>
      <c r="B1098" s="425"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3"/>
      <c r="Z1098" s="414"/>
      <c r="AA1098" s="414"/>
      <c r="AB1098" s="414"/>
      <c r="AC1098" s="414"/>
      <c r="AD1098" s="414"/>
      <c r="AE1098" s="414"/>
      <c r="AF1098" s="414"/>
      <c r="AG1098" s="414"/>
      <c r="AH1098" s="414"/>
      <c r="AI1098" s="414"/>
      <c r="AJ1098" s="414"/>
      <c r="AK1098" s="414"/>
      <c r="AL1098" s="414"/>
      <c r="AM1098" s="296">
        <f>SUM(Y1098:AL1098)</f>
        <v>0</v>
      </c>
    </row>
    <row r="1099" spans="1:39" ht="15" customHeight="1" hidden="1" outlineLevel="1">
      <c r="A1099" s="526"/>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0">
        <f>Y1098</f>
        <v>0</v>
      </c>
      <c r="Z1099" s="410">
        <f t="shared" si="2512" ref="Z1099">Z1098</f>
        <v>0</v>
      </c>
      <c r="AA1099" s="410">
        <f t="shared" si="2513" ref="AA1099">AA1098</f>
        <v>0</v>
      </c>
      <c r="AB1099" s="410">
        <f t="shared" si="2514" ref="AB1099">AB1098</f>
        <v>0</v>
      </c>
      <c r="AC1099" s="410">
        <f t="shared" si="2515" ref="AC1099">AC1098</f>
        <v>0</v>
      </c>
      <c r="AD1099" s="410">
        <f t="shared" si="2516" ref="AD1099">AD1098</f>
        <v>0</v>
      </c>
      <c r="AE1099" s="410">
        <f t="shared" si="2517" ref="AE1099">AE1098</f>
        <v>0</v>
      </c>
      <c r="AF1099" s="410">
        <f t="shared" si="2518" ref="AF1099">AF1098</f>
        <v>0</v>
      </c>
      <c r="AG1099" s="410">
        <f t="shared" si="2519" ref="AG1099">AG1098</f>
        <v>0</v>
      </c>
      <c r="AH1099" s="410">
        <f t="shared" si="2520" ref="AH1099">AH1098</f>
        <v>0</v>
      </c>
      <c r="AI1099" s="410">
        <f t="shared" si="2521" ref="AI1099">AI1098</f>
        <v>0</v>
      </c>
      <c r="AJ1099" s="410">
        <f t="shared" si="2522" ref="AJ1099">AJ1098</f>
        <v>0</v>
      </c>
      <c r="AK1099" s="410">
        <f t="shared" si="2523" ref="AK1099">AK1098</f>
        <v>0</v>
      </c>
      <c r="AL1099" s="410">
        <f t="shared" si="2524" ref="AL1099">AL1098</f>
        <v>0</v>
      </c>
      <c r="AM1099" s="306"/>
    </row>
    <row r="1100" spans="1:39" ht="15" customHeight="1" hidden="1" outlineLevel="1">
      <c r="A1100" s="526"/>
      <c r="B1100" s="425"/>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1"/>
      <c r="Z1100" s="422"/>
      <c r="AA1100" s="422"/>
      <c r="AB1100" s="422"/>
      <c r="AC1100" s="422"/>
      <c r="AD1100" s="422"/>
      <c r="AE1100" s="422"/>
      <c r="AF1100" s="422"/>
      <c r="AG1100" s="422"/>
      <c r="AH1100" s="422"/>
      <c r="AI1100" s="422"/>
      <c r="AJ1100" s="422"/>
      <c r="AK1100" s="422"/>
      <c r="AL1100" s="422"/>
      <c r="AM1100" s="306"/>
    </row>
    <row r="1101" spans="1:39" ht="35.4" customHeight="1" hidden="1" outlineLevel="1">
      <c r="A1101" s="526">
        <v>47</v>
      </c>
      <c r="B1101" s="425"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3"/>
      <c r="Z1101" s="414"/>
      <c r="AA1101" s="414"/>
      <c r="AB1101" s="414"/>
      <c r="AC1101" s="414"/>
      <c r="AD1101" s="414"/>
      <c r="AE1101" s="414"/>
      <c r="AF1101" s="414"/>
      <c r="AG1101" s="414"/>
      <c r="AH1101" s="414"/>
      <c r="AI1101" s="414"/>
      <c r="AJ1101" s="414"/>
      <c r="AK1101" s="414"/>
      <c r="AL1101" s="414"/>
      <c r="AM1101" s="296">
        <f>SUM(Y1101:AL1101)</f>
        <v>0</v>
      </c>
    </row>
    <row r="1102" spans="1:39" ht="15" customHeight="1" hidden="1" outlineLevel="1">
      <c r="A1102" s="526"/>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0">
        <f>Y1101</f>
        <v>0</v>
      </c>
      <c r="Z1102" s="410">
        <f t="shared" si="2525" ref="Z1102">Z1101</f>
        <v>0</v>
      </c>
      <c r="AA1102" s="410">
        <f t="shared" si="2526" ref="AA1102">AA1101</f>
        <v>0</v>
      </c>
      <c r="AB1102" s="410">
        <f t="shared" si="2527" ref="AB1102">AB1101</f>
        <v>0</v>
      </c>
      <c r="AC1102" s="410">
        <f t="shared" si="2528" ref="AC1102">AC1101</f>
        <v>0</v>
      </c>
      <c r="AD1102" s="410">
        <f t="shared" si="2529" ref="AD1102">AD1101</f>
        <v>0</v>
      </c>
      <c r="AE1102" s="410">
        <f t="shared" si="2530" ref="AE1102">AE1101</f>
        <v>0</v>
      </c>
      <c r="AF1102" s="410">
        <f t="shared" si="2531" ref="AF1102">AF1101</f>
        <v>0</v>
      </c>
      <c r="AG1102" s="410">
        <f t="shared" si="2532" ref="AG1102">AG1101</f>
        <v>0</v>
      </c>
      <c r="AH1102" s="410">
        <f t="shared" si="2533" ref="AH1102">AH1101</f>
        <v>0</v>
      </c>
      <c r="AI1102" s="410">
        <f t="shared" si="2534" ref="AI1102">AI1101</f>
        <v>0</v>
      </c>
      <c r="AJ1102" s="410">
        <f t="shared" si="2535" ref="AJ1102">AJ1101</f>
        <v>0</v>
      </c>
      <c r="AK1102" s="410">
        <f t="shared" si="2536" ref="AK1102">AK1101</f>
        <v>0</v>
      </c>
      <c r="AL1102" s="410">
        <f t="shared" si="2537" ref="AL1102">AL1101</f>
        <v>0</v>
      </c>
      <c r="AM1102" s="306"/>
    </row>
    <row r="1103" spans="1:39" ht="15" customHeight="1" hidden="1" outlineLevel="1">
      <c r="A1103" s="526"/>
      <c r="B1103" s="425"/>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1"/>
      <c r="Z1103" s="422"/>
      <c r="AA1103" s="422"/>
      <c r="AB1103" s="422"/>
      <c r="AC1103" s="422"/>
      <c r="AD1103" s="422"/>
      <c r="AE1103" s="422"/>
      <c r="AF1103" s="422"/>
      <c r="AG1103" s="422"/>
      <c r="AH1103" s="422"/>
      <c r="AI1103" s="422"/>
      <c r="AJ1103" s="422"/>
      <c r="AK1103" s="422"/>
      <c r="AL1103" s="422"/>
      <c r="AM1103" s="306"/>
    </row>
    <row r="1104" spans="1:39" ht="39.75" customHeight="1" hidden="1" outlineLevel="1">
      <c r="A1104" s="526">
        <v>48</v>
      </c>
      <c r="B1104" s="425"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3"/>
      <c r="Z1104" s="414"/>
      <c r="AA1104" s="414"/>
      <c r="AB1104" s="414"/>
      <c r="AC1104" s="414"/>
      <c r="AD1104" s="414"/>
      <c r="AE1104" s="414"/>
      <c r="AF1104" s="414"/>
      <c r="AG1104" s="414"/>
      <c r="AH1104" s="414"/>
      <c r="AI1104" s="414"/>
      <c r="AJ1104" s="414"/>
      <c r="AK1104" s="414"/>
      <c r="AL1104" s="414"/>
      <c r="AM1104" s="296">
        <f>SUM(Y1104:AL1104)</f>
        <v>0</v>
      </c>
    </row>
    <row r="1105" spans="1:39" ht="15" customHeight="1" hidden="1" outlineLevel="1">
      <c r="A1105" s="526"/>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0">
        <f>Y1104</f>
        <v>0</v>
      </c>
      <c r="Z1105" s="410">
        <f t="shared" si="2538" ref="Z1105">Z1104</f>
        <v>0</v>
      </c>
      <c r="AA1105" s="410">
        <f t="shared" si="2539" ref="AA1105">AA1104</f>
        <v>0</v>
      </c>
      <c r="AB1105" s="410">
        <f t="shared" si="2540" ref="AB1105">AB1104</f>
        <v>0</v>
      </c>
      <c r="AC1105" s="410">
        <f t="shared" si="2541" ref="AC1105">AC1104</f>
        <v>0</v>
      </c>
      <c r="AD1105" s="410">
        <f t="shared" si="2542" ref="AD1105">AD1104</f>
        <v>0</v>
      </c>
      <c r="AE1105" s="410">
        <f t="shared" si="2543" ref="AE1105">AE1104</f>
        <v>0</v>
      </c>
      <c r="AF1105" s="410">
        <f t="shared" si="2544" ref="AF1105">AF1104</f>
        <v>0</v>
      </c>
      <c r="AG1105" s="410">
        <f t="shared" si="2545" ref="AG1105">AG1104</f>
        <v>0</v>
      </c>
      <c r="AH1105" s="410">
        <f t="shared" si="2546" ref="AH1105">AH1104</f>
        <v>0</v>
      </c>
      <c r="AI1105" s="410">
        <f t="shared" si="2547" ref="AI1105">AI1104</f>
        <v>0</v>
      </c>
      <c r="AJ1105" s="410">
        <f t="shared" si="2548" ref="AJ1105">AJ1104</f>
        <v>0</v>
      </c>
      <c r="AK1105" s="410">
        <f t="shared" si="2549" ref="AK1105">AK1104</f>
        <v>0</v>
      </c>
      <c r="AL1105" s="410">
        <f t="shared" si="2550" ref="AL1105">AL1104</f>
        <v>0</v>
      </c>
      <c r="AM1105" s="306"/>
    </row>
    <row r="1106" spans="1:39" ht="15" customHeight="1" hidden="1" outlineLevel="1">
      <c r="A1106" s="526"/>
      <c r="B1106" s="425"/>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1"/>
      <c r="Z1106" s="422"/>
      <c r="AA1106" s="422"/>
      <c r="AB1106" s="422"/>
      <c r="AC1106" s="422"/>
      <c r="AD1106" s="422"/>
      <c r="AE1106" s="422"/>
      <c r="AF1106" s="422"/>
      <c r="AG1106" s="422"/>
      <c r="AH1106" s="422"/>
      <c r="AI1106" s="422"/>
      <c r="AJ1106" s="422"/>
      <c r="AK1106" s="422"/>
      <c r="AL1106" s="422"/>
      <c r="AM1106" s="306"/>
    </row>
    <row r="1107" spans="1:39" ht="33" customHeight="1" hidden="1" outlineLevel="1">
      <c r="A1107" s="526">
        <v>49</v>
      </c>
      <c r="B1107" s="425"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3"/>
      <c r="Z1107" s="414"/>
      <c r="AA1107" s="414"/>
      <c r="AB1107" s="414"/>
      <c r="AC1107" s="414"/>
      <c r="AD1107" s="414"/>
      <c r="AE1107" s="414"/>
      <c r="AF1107" s="414"/>
      <c r="AG1107" s="414"/>
      <c r="AH1107" s="414"/>
      <c r="AI1107" s="414"/>
      <c r="AJ1107" s="414"/>
      <c r="AK1107" s="414"/>
      <c r="AL1107" s="414"/>
      <c r="AM1107" s="296">
        <f>SUM(Y1107:AL1107)</f>
        <v>0</v>
      </c>
    </row>
    <row r="1108" spans="1:39" ht="15" customHeight="1" hidden="1" outlineLevel="1">
      <c r="A1108" s="526"/>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0">
        <f>Y1107</f>
        <v>0</v>
      </c>
      <c r="Z1108" s="410">
        <f t="shared" si="2551" ref="Z1108">Z1107</f>
        <v>0</v>
      </c>
      <c r="AA1108" s="410">
        <f t="shared" si="2552" ref="AA1108">AA1107</f>
        <v>0</v>
      </c>
      <c r="AB1108" s="410">
        <f t="shared" si="2553" ref="AB1108">AB1107</f>
        <v>0</v>
      </c>
      <c r="AC1108" s="410">
        <f t="shared" si="2554" ref="AC1108">AC1107</f>
        <v>0</v>
      </c>
      <c r="AD1108" s="410">
        <f t="shared" si="2555" ref="AD1108">AD1107</f>
        <v>0</v>
      </c>
      <c r="AE1108" s="410">
        <f t="shared" si="2556" ref="AE1108">AE1107</f>
        <v>0</v>
      </c>
      <c r="AF1108" s="410">
        <f t="shared" si="2557" ref="AF1108">AF1107</f>
        <v>0</v>
      </c>
      <c r="AG1108" s="410">
        <f t="shared" si="2558" ref="AG1108">AG1107</f>
        <v>0</v>
      </c>
      <c r="AH1108" s="410">
        <f t="shared" si="2559" ref="AH1108">AH1107</f>
        <v>0</v>
      </c>
      <c r="AI1108" s="410">
        <f t="shared" si="2560" ref="AI1108">AI1107</f>
        <v>0</v>
      </c>
      <c r="AJ1108" s="410">
        <f t="shared" si="2561" ref="AJ1108">AJ1107</f>
        <v>0</v>
      </c>
      <c r="AK1108" s="410">
        <f t="shared" si="2562" ref="AK1108">AK1107</f>
        <v>0</v>
      </c>
      <c r="AL1108" s="410">
        <f t="shared" si="2563" ref="AL1108">AL1107</f>
        <v>0</v>
      </c>
      <c r="AM1108" s="306"/>
    </row>
    <row r="1109" spans="1:39" ht="15" customHeight="1" hidden="1" outlineLevel="1">
      <c r="A1109" s="526"/>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2:39" ht="15.5"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2:39" ht="15.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39"/>
    </row>
    <row r="1112" spans="2:39" ht="15.5">
      <c r="B1112" s="393"/>
      <c r="C1112" s="429"/>
      <c r="D1112" s="430"/>
      <c r="E1112" s="430"/>
      <c r="F1112" s="430"/>
      <c r="G1112" s="430"/>
      <c r="H1112" s="430"/>
      <c r="I1112" s="430"/>
      <c r="J1112" s="430"/>
      <c r="K1112" s="430"/>
      <c r="L1112" s="430"/>
      <c r="M1112" s="430"/>
      <c r="N1112" s="430"/>
      <c r="O1112" s="431"/>
      <c r="P1112" s="430"/>
      <c r="Q1112" s="430"/>
      <c r="R1112" s="430"/>
      <c r="S1112" s="432"/>
      <c r="T1112" s="432"/>
      <c r="U1112" s="432"/>
      <c r="V1112" s="432"/>
      <c r="W1112" s="430"/>
      <c r="X1112" s="430"/>
      <c r="Y1112" s="433"/>
      <c r="Z1112" s="433"/>
      <c r="AA1112" s="433"/>
      <c r="AB1112" s="433"/>
      <c r="AC1112" s="433"/>
      <c r="AD1112" s="433"/>
      <c r="AE1112" s="433"/>
      <c r="AF1112" s="398"/>
      <c r="AG1112" s="398"/>
      <c r="AH1112" s="398"/>
      <c r="AI1112" s="398"/>
      <c r="AJ1112" s="398"/>
      <c r="AK1112" s="398"/>
      <c r="AL1112" s="398"/>
      <c r="AM1112" s="399"/>
    </row>
    <row r="1113" spans="2:39" ht="15.5">
      <c r="B1113" s="323" t="s">
        <v>349</v>
      </c>
      <c r="C1113" s="337"/>
      <c r="D1113" s="337"/>
      <c r="E1113" s="375"/>
      <c r="F1113" s="375"/>
      <c r="G1113" s="375"/>
      <c r="H1113" s="375"/>
      <c r="I1113" s="375"/>
      <c r="J1113" s="375"/>
      <c r="K1113" s="375"/>
      <c r="L1113" s="375"/>
      <c r="M1113" s="375"/>
      <c r="N1113" s="375"/>
      <c r="O1113" s="291"/>
      <c r="P1113" s="339"/>
      <c r="Q1113" s="339"/>
      <c r="R1113" s="339"/>
      <c r="S1113" s="338"/>
      <c r="T1113" s="338"/>
      <c r="U1113" s="338"/>
      <c r="V1113" s="338"/>
      <c r="W1113" s="339"/>
      <c r="X1113" s="339"/>
      <c r="Y1113" s="340">
        <f>HLOOKUP(Y$35,'3.  Distribution Rates'!$C$122:$P$133,12,FALSE)</f>
        <v>0</v>
      </c>
      <c r="Z1113" s="340">
        <f>HLOOKUP(Z$35,'3.  Distribution Rates'!$C$122:$P$133,12,FALSE)</f>
        <v>0.010500000000000001</v>
      </c>
      <c r="AA1113" s="340">
        <f>HLOOKUP(AA$35,'3.  Distribution Rates'!$C$122:$P$133,12,FALSE)</f>
        <v>3.9681000000000002</v>
      </c>
      <c r="AB1113" s="340">
        <f>HLOOKUP(AB$35,'3.  Distribution Rates'!$C$122:$P$133,12,FALSE)</f>
        <v>3.5695999999999999</v>
      </c>
      <c r="AC1113" s="340">
        <f>HLOOKUP(AC$35,'3.  Distribution Rates'!$C$122:$P$133,12,FALSE)</f>
        <v>0.0055999999999999999</v>
      </c>
      <c r="AD1113" s="340">
        <f>HLOOKUP(AD$35,'3.  Distribution Rates'!$C$122:$P$133,12,FALSE)</f>
        <v>36.929499999999997</v>
      </c>
      <c r="AE1113" s="340">
        <f>HLOOKUP(AE$35,'3.  Distribution Rates'!$C$122:$P$133,12,FALSE)</f>
        <v>1.5966</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1"/>
    </row>
    <row r="1114" spans="2:39" ht="15.5">
      <c r="B1114" s="323" t="s">
        <v>353</v>
      </c>
      <c r="C1114" s="344"/>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2">
        <f t="shared" si="2564" ref="AM1114:AM1123">SUM(Y1114:AL1114)</f>
        <v>0</v>
      </c>
    </row>
    <row r="1115" spans="2:39" ht="15.5">
      <c r="B1115" s="323" t="s">
        <v>354</v>
      </c>
      <c r="C1115" s="344"/>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2">
        <f t="shared" si="2564"/>
        <v>0</v>
      </c>
    </row>
    <row r="1116" spans="2:39" ht="15.5">
      <c r="B1116" s="323" t="s">
        <v>355</v>
      </c>
      <c r="C1116" s="344"/>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2">
        <f t="shared" si="2564"/>
        <v>0</v>
      </c>
    </row>
    <row r="1117" spans="2:39" ht="15.5">
      <c r="B1117" s="323" t="s">
        <v>356</v>
      </c>
      <c r="C1117" s="344"/>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2">
        <f t="shared" si="2564"/>
        <v>0</v>
      </c>
    </row>
    <row r="1118" spans="2:39" ht="15.5">
      <c r="B1118" s="323" t="s">
        <v>357</v>
      </c>
      <c r="C1118" s="344"/>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7">
        <f t="shared" si="2565" ref="Y1118:AL1118">Y212*Y1113</f>
        <v>0</v>
      </c>
      <c r="Z1118" s="377">
        <f t="shared" si="2565"/>
        <v>15567.313598088584</v>
      </c>
      <c r="AA1118" s="377">
        <f t="shared" si="2565"/>
        <v>7528.3196496942346</v>
      </c>
      <c r="AB1118" s="377">
        <f t="shared" si="2565"/>
        <v>6977.5020480197027</v>
      </c>
      <c r="AC1118" s="377">
        <f t="shared" si="2565"/>
        <v>0</v>
      </c>
      <c r="AD1118" s="377">
        <f t="shared" si="2565"/>
        <v>0</v>
      </c>
      <c r="AE1118" s="377">
        <f t="shared" si="2565"/>
        <v>606.30890109120037</v>
      </c>
      <c r="AF1118" s="377">
        <f t="shared" si="2565"/>
        <v>0</v>
      </c>
      <c r="AG1118" s="377">
        <f t="shared" si="2565"/>
        <v>0</v>
      </c>
      <c r="AH1118" s="377">
        <f t="shared" si="2565"/>
        <v>0</v>
      </c>
      <c r="AI1118" s="377">
        <f t="shared" si="2565"/>
        <v>0</v>
      </c>
      <c r="AJ1118" s="377">
        <f t="shared" si="2565"/>
        <v>0</v>
      </c>
      <c r="AK1118" s="377">
        <f t="shared" si="2565"/>
        <v>0</v>
      </c>
      <c r="AL1118" s="377">
        <f t="shared" si="2565"/>
        <v>0</v>
      </c>
      <c r="AM1118" s="622">
        <f t="shared" si="2564"/>
        <v>30679.444196893721</v>
      </c>
    </row>
    <row r="1119" spans="2:39" ht="15.5">
      <c r="B1119" s="323" t="s">
        <v>358</v>
      </c>
      <c r="C1119" s="344"/>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7">
        <f t="shared" si="2566" ref="Y1119:AL1119">Y395*Y1113</f>
        <v>0</v>
      </c>
      <c r="Z1119" s="377">
        <f t="shared" si="2566"/>
        <v>3226.7669991354537</v>
      </c>
      <c r="AA1119" s="377">
        <f t="shared" si="2566"/>
        <v>189.32641804858076</v>
      </c>
      <c r="AB1119" s="377">
        <f t="shared" si="2566"/>
        <v>855.38760770825866</v>
      </c>
      <c r="AC1119" s="377">
        <f t="shared" si="2566"/>
        <v>0</v>
      </c>
      <c r="AD1119" s="377">
        <f t="shared" si="2566"/>
        <v>0</v>
      </c>
      <c r="AE1119" s="377">
        <f t="shared" si="2566"/>
        <v>5706.1236863807999</v>
      </c>
      <c r="AF1119" s="377">
        <f t="shared" si="2566"/>
        <v>0</v>
      </c>
      <c r="AG1119" s="377">
        <f t="shared" si="2566"/>
        <v>0</v>
      </c>
      <c r="AH1119" s="377">
        <f t="shared" si="2566"/>
        <v>0</v>
      </c>
      <c r="AI1119" s="377">
        <f t="shared" si="2566"/>
        <v>0</v>
      </c>
      <c r="AJ1119" s="377">
        <f t="shared" si="2566"/>
        <v>0</v>
      </c>
      <c r="AK1119" s="377">
        <f t="shared" si="2566"/>
        <v>0</v>
      </c>
      <c r="AL1119" s="377">
        <f t="shared" si="2566"/>
        <v>0</v>
      </c>
      <c r="AM1119" s="622">
        <f t="shared" si="2564"/>
        <v>9977.6047112730921</v>
      </c>
    </row>
    <row r="1120" spans="2:39" ht="15.5">
      <c r="B1120" s="323" t="s">
        <v>359</v>
      </c>
      <c r="C1120" s="344"/>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7">
        <f t="shared" si="2567" ref="Y1120:AL1120">Y578*Y1113</f>
        <v>0</v>
      </c>
      <c r="Z1120" s="377">
        <f t="shared" si="2567"/>
        <v>12952.663653741418</v>
      </c>
      <c r="AA1120" s="377">
        <f t="shared" si="2567"/>
        <v>10179.18598464</v>
      </c>
      <c r="AB1120" s="377">
        <f t="shared" si="2567"/>
        <v>6610.9448908799995</v>
      </c>
      <c r="AC1120" s="377">
        <f t="shared" si="2567"/>
        <v>0</v>
      </c>
      <c r="AD1120" s="377">
        <f t="shared" si="2567"/>
        <v>0</v>
      </c>
      <c r="AE1120" s="377">
        <f t="shared" si="2567"/>
        <v>364.45787455680045</v>
      </c>
      <c r="AF1120" s="377">
        <f t="shared" si="2567"/>
        <v>0</v>
      </c>
      <c r="AG1120" s="377">
        <f t="shared" si="2567"/>
        <v>0</v>
      </c>
      <c r="AH1120" s="377">
        <f t="shared" si="2567"/>
        <v>0</v>
      </c>
      <c r="AI1120" s="377">
        <f t="shared" si="2567"/>
        <v>0</v>
      </c>
      <c r="AJ1120" s="377">
        <f t="shared" si="2567"/>
        <v>0</v>
      </c>
      <c r="AK1120" s="377">
        <f t="shared" si="2567"/>
        <v>0</v>
      </c>
      <c r="AL1120" s="377">
        <f t="shared" si="2567"/>
        <v>0</v>
      </c>
      <c r="AM1120" s="622">
        <f t="shared" si="2564"/>
        <v>30107.25240381822</v>
      </c>
    </row>
    <row r="1121" spans="2:39" ht="15.5">
      <c r="B1121" s="323" t="s">
        <v>360</v>
      </c>
      <c r="C1121" s="344"/>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7">
        <f t="shared" si="2568" ref="Y1121:AL1121">Y761*Y1113</f>
        <v>0</v>
      </c>
      <c r="Z1121" s="377">
        <f t="shared" si="2568"/>
        <v>3329.8858841633619</v>
      </c>
      <c r="AA1121" s="377">
        <f t="shared" si="2568"/>
        <v>4764.057833522842</v>
      </c>
      <c r="AB1121" s="377">
        <f t="shared" si="2568"/>
        <v>3624.3455245190621</v>
      </c>
      <c r="AC1121" s="377">
        <f t="shared" si="2568"/>
        <v>0</v>
      </c>
      <c r="AD1121" s="377">
        <f t="shared" si="2568"/>
        <v>0</v>
      </c>
      <c r="AE1121" s="377">
        <f t="shared" si="2568"/>
        <v>0</v>
      </c>
      <c r="AF1121" s="377">
        <f t="shared" si="2568"/>
        <v>0</v>
      </c>
      <c r="AG1121" s="377">
        <f t="shared" si="2568"/>
        <v>0</v>
      </c>
      <c r="AH1121" s="377">
        <f t="shared" si="2568"/>
        <v>0</v>
      </c>
      <c r="AI1121" s="377">
        <f t="shared" si="2568"/>
        <v>0</v>
      </c>
      <c r="AJ1121" s="377">
        <f t="shared" si="2568"/>
        <v>0</v>
      </c>
      <c r="AK1121" s="377">
        <f t="shared" si="2568"/>
        <v>0</v>
      </c>
      <c r="AL1121" s="377">
        <f t="shared" si="2568"/>
        <v>0</v>
      </c>
      <c r="AM1121" s="622">
        <f t="shared" si="2564"/>
        <v>11718.289242205266</v>
      </c>
    </row>
    <row r="1122" spans="2:39" ht="15.5">
      <c r="B1122" s="323" t="s">
        <v>361</v>
      </c>
      <c r="C1122" s="344"/>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7">
        <f t="shared" si="2569" ref="Y1122:AL1122">Y944*Y1113</f>
        <v>0</v>
      </c>
      <c r="Z1122" s="377">
        <f t="shared" si="2569"/>
        <v>567.84926728295818</v>
      </c>
      <c r="AA1122" s="377">
        <f t="shared" si="2569"/>
        <v>768.85001552471135</v>
      </c>
      <c r="AB1122" s="377">
        <f t="shared" si="2569"/>
        <v>543.93609535326505</v>
      </c>
      <c r="AC1122" s="377">
        <f t="shared" si="2569"/>
        <v>0</v>
      </c>
      <c r="AD1122" s="377">
        <f t="shared" si="2569"/>
        <v>0</v>
      </c>
      <c r="AE1122" s="377">
        <f t="shared" si="2569"/>
        <v>0</v>
      </c>
      <c r="AF1122" s="377">
        <f t="shared" si="2569"/>
        <v>0</v>
      </c>
      <c r="AG1122" s="377">
        <f t="shared" si="2569"/>
        <v>0</v>
      </c>
      <c r="AH1122" s="377">
        <f t="shared" si="2569"/>
        <v>0</v>
      </c>
      <c r="AI1122" s="377">
        <f t="shared" si="2569"/>
        <v>0</v>
      </c>
      <c r="AJ1122" s="377">
        <f t="shared" si="2569"/>
        <v>0</v>
      </c>
      <c r="AK1122" s="377">
        <f t="shared" si="2569"/>
        <v>0</v>
      </c>
      <c r="AL1122" s="377">
        <f t="shared" si="2569"/>
        <v>0</v>
      </c>
      <c r="AM1122" s="622">
        <f t="shared" si="2564"/>
        <v>1880.6353781609346</v>
      </c>
    </row>
    <row r="1123" spans="2:39" ht="15.5">
      <c r="B1123" s="323" t="s">
        <v>362</v>
      </c>
      <c r="C1123" s="344"/>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7">
        <f>Y1110*Y1113</f>
        <v>0</v>
      </c>
      <c r="Z1123" s="377">
        <f>Z1110*Z1113</f>
        <v>0</v>
      </c>
      <c r="AA1123" s="377">
        <f t="shared" si="2570" ref="AA1123:AL1123">AA1110*AA1113</f>
        <v>0</v>
      </c>
      <c r="AB1123" s="377">
        <f t="shared" si="2570"/>
        <v>0</v>
      </c>
      <c r="AC1123" s="377">
        <f t="shared" si="2570"/>
        <v>0</v>
      </c>
      <c r="AD1123" s="377">
        <f t="shared" si="2570"/>
        <v>0</v>
      </c>
      <c r="AE1123" s="377">
        <f t="shared" si="2570"/>
        <v>0</v>
      </c>
      <c r="AF1123" s="377">
        <f t="shared" si="2570"/>
        <v>0</v>
      </c>
      <c r="AG1123" s="377">
        <f t="shared" si="2570"/>
        <v>0</v>
      </c>
      <c r="AH1123" s="377">
        <f t="shared" si="2570"/>
        <v>0</v>
      </c>
      <c r="AI1123" s="377">
        <f t="shared" si="2570"/>
        <v>0</v>
      </c>
      <c r="AJ1123" s="377">
        <f t="shared" si="2570"/>
        <v>0</v>
      </c>
      <c r="AK1123" s="377">
        <f t="shared" si="2570"/>
        <v>0</v>
      </c>
      <c r="AL1123" s="377">
        <f t="shared" si="2570"/>
        <v>0</v>
      </c>
      <c r="AM1123" s="622">
        <f t="shared" si="2564"/>
        <v>0</v>
      </c>
    </row>
    <row r="1124" spans="2:39" ht="15.5">
      <c r="B1124" s="348" t="s">
        <v>352</v>
      </c>
      <c r="C1124" s="344"/>
      <c r="D1124" s="335"/>
      <c r="E1124" s="333"/>
      <c r="F1124" s="333"/>
      <c r="G1124" s="333"/>
      <c r="H1124" s="333"/>
      <c r="I1124" s="333"/>
      <c r="J1124" s="333"/>
      <c r="K1124" s="333"/>
      <c r="L1124" s="333"/>
      <c r="M1124" s="333"/>
      <c r="N1124" s="333"/>
      <c r="O1124" s="300"/>
      <c r="P1124" s="333"/>
      <c r="Q1124" s="333"/>
      <c r="R1124" s="333"/>
      <c r="S1124" s="335"/>
      <c r="T1124" s="335"/>
      <c r="U1124" s="335"/>
      <c r="V1124" s="335"/>
      <c r="W1124" s="333"/>
      <c r="X1124" s="333"/>
      <c r="Y1124" s="345">
        <f>SUM(Y1114:Y1123)</f>
        <v>0</v>
      </c>
      <c r="Z1124" s="345">
        <f t="shared" si="2571" ref="Z1124:AE1124">SUM(Z1114:Z1123)</f>
        <v>35644.47940241178</v>
      </c>
      <c r="AA1124" s="345">
        <f t="shared" si="2571"/>
        <v>23429.73990143037</v>
      </c>
      <c r="AB1124" s="345">
        <f t="shared" si="2571"/>
        <v>18612.116166480286</v>
      </c>
      <c r="AC1124" s="345">
        <f t="shared" si="2571"/>
        <v>0</v>
      </c>
      <c r="AD1124" s="345">
        <f t="shared" si="2571"/>
        <v>0</v>
      </c>
      <c r="AE1124" s="345">
        <f t="shared" si="2571"/>
        <v>6676.8904620288004</v>
      </c>
      <c r="AF1124" s="345">
        <f>SUM(AF1114:AF1123)</f>
        <v>0</v>
      </c>
      <c r="AG1124" s="345">
        <f t="shared" si="2572" ref="AG1124:AL1124">SUM(AG1114:AG1123)</f>
        <v>0</v>
      </c>
      <c r="AH1124" s="345">
        <f t="shared" si="2572"/>
        <v>0</v>
      </c>
      <c r="AI1124" s="345">
        <f t="shared" si="2572"/>
        <v>0</v>
      </c>
      <c r="AJ1124" s="345">
        <f t="shared" si="2572"/>
        <v>0</v>
      </c>
      <c r="AK1124" s="345">
        <f t="shared" si="2572"/>
        <v>0</v>
      </c>
      <c r="AL1124" s="345">
        <f t="shared" si="2572"/>
        <v>0</v>
      </c>
      <c r="AM1124" s="406">
        <f>SUM(AM1114:AM1123)</f>
        <v>84363.225932351241</v>
      </c>
    </row>
    <row r="1125" spans="2:39" ht="15.5">
      <c r="B1125" s="348" t="s">
        <v>351</v>
      </c>
      <c r="C1125" s="344"/>
      <c r="D1125" s="349"/>
      <c r="E1125" s="333"/>
      <c r="F1125" s="333"/>
      <c r="G1125" s="333"/>
      <c r="H1125" s="333"/>
      <c r="I1125" s="333"/>
      <c r="J1125" s="333"/>
      <c r="K1125" s="333"/>
      <c r="L1125" s="333"/>
      <c r="M1125" s="333"/>
      <c r="N1125" s="333"/>
      <c r="O1125" s="300"/>
      <c r="P1125" s="333"/>
      <c r="Q1125" s="333"/>
      <c r="R1125" s="333"/>
      <c r="S1125" s="335"/>
      <c r="T1125" s="335"/>
      <c r="U1125" s="335"/>
      <c r="V1125" s="335"/>
      <c r="W1125" s="333"/>
      <c r="X1125" s="333"/>
      <c r="Y1125" s="346">
        <f>Y1111*Y1113</f>
        <v>0</v>
      </c>
      <c r="Z1125" s="346">
        <f t="shared" si="2573" ref="Z1125:AE1125">Z1111*Z1113</f>
        <v>0</v>
      </c>
      <c r="AA1125" s="346">
        <f>AA1111*AA1113</f>
        <v>0</v>
      </c>
      <c r="AB1125" s="346">
        <f t="shared" si="2573"/>
        <v>0</v>
      </c>
      <c r="AC1125" s="346">
        <f t="shared" si="2573"/>
        <v>0</v>
      </c>
      <c r="AD1125" s="346">
        <f t="shared" si="2573"/>
        <v>0</v>
      </c>
      <c r="AE1125" s="346">
        <f t="shared" si="2573"/>
        <v>0</v>
      </c>
      <c r="AF1125" s="346">
        <f t="shared" si="2574" ref="AF1125:AL1125">AF1111*AF1113</f>
        <v>0</v>
      </c>
      <c r="AG1125" s="346">
        <f t="shared" si="2574"/>
        <v>0</v>
      </c>
      <c r="AH1125" s="346">
        <f t="shared" si="2574"/>
        <v>0</v>
      </c>
      <c r="AI1125" s="346">
        <f t="shared" si="2574"/>
        <v>0</v>
      </c>
      <c r="AJ1125" s="346">
        <f t="shared" si="2574"/>
        <v>0</v>
      </c>
      <c r="AK1125" s="346">
        <f t="shared" si="2574"/>
        <v>0</v>
      </c>
      <c r="AL1125" s="346">
        <f t="shared" si="2574"/>
        <v>0</v>
      </c>
      <c r="AM1125" s="406">
        <f>SUM(Y1125:AL1125)</f>
        <v>0</v>
      </c>
    </row>
    <row r="1126" spans="2:39" ht="15.5">
      <c r="B1126" s="348" t="s">
        <v>350</v>
      </c>
      <c r="C1126" s="344"/>
      <c r="D1126" s="349"/>
      <c r="E1126" s="333"/>
      <c r="F1126" s="333"/>
      <c r="G1126" s="333"/>
      <c r="H1126" s="333"/>
      <c r="I1126" s="333"/>
      <c r="J1126" s="333"/>
      <c r="K1126" s="333"/>
      <c r="L1126" s="333"/>
      <c r="M1126" s="333"/>
      <c r="N1126" s="333"/>
      <c r="O1126" s="300"/>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84363.225932351241</v>
      </c>
    </row>
    <row r="1127" spans="2:39" ht="15.5">
      <c r="B1127" s="380"/>
      <c r="C1127" s="442"/>
      <c r="D1127" s="442"/>
      <c r="E1127" s="443"/>
      <c r="F1127" s="443"/>
      <c r="G1127" s="443"/>
      <c r="H1127" s="443"/>
      <c r="I1127" s="443"/>
      <c r="J1127" s="443"/>
      <c r="K1127" s="443"/>
      <c r="L1127" s="443"/>
      <c r="M1127" s="443"/>
      <c r="N1127" s="443"/>
      <c r="O1127" s="444"/>
      <c r="P1127" s="443"/>
      <c r="Q1127" s="443"/>
      <c r="R1127" s="443"/>
      <c r="S1127" s="442"/>
      <c r="T1127" s="445"/>
      <c r="U1127" s="442"/>
      <c r="V1127" s="442"/>
      <c r="W1127" s="443"/>
      <c r="X1127" s="443"/>
      <c r="Y1127" s="446"/>
      <c r="Z1127" s="446"/>
      <c r="AA1127" s="446"/>
      <c r="AB1127" s="446"/>
      <c r="AC1127" s="446"/>
      <c r="AD1127" s="446"/>
      <c r="AE1127" s="446"/>
      <c r="AF1127" s="446"/>
      <c r="AG1127" s="446"/>
      <c r="AH1127" s="446"/>
      <c r="AI1127" s="446"/>
      <c r="AJ1127" s="446"/>
      <c r="AK1127" s="446"/>
      <c r="AL1127" s="446"/>
      <c r="AM1127" s="385"/>
    </row>
    <row r="1128" spans="2:39" ht="19.5" customHeight="1">
      <c r="B1128" s="367" t="s">
        <v>586</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2" ht="14.5">
      <c r="B1130" s="583"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 right="0.708661417322835" top="0.748031496062992" bottom="0.748031496062992" header="0.31496062992126" footer="0.31496062992126"/>
  <pageSetup fitToHeight="0" orientation="landscape" paperSize="17" scale="18" r:id="rId2"/>
  <headerFooter>
    <oddFooter>&amp;R&amp;P of &amp;N</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zoomScale="60" zoomScaleNormal="60" workbookViewId="0" topLeftCell="A121">
      <selection pane="topLeft" activeCell="W132" sqref="W132"/>
    </sheetView>
  </sheetViews>
  <sheetFormatPr defaultColWidth="9.00428571428571" defaultRowHeight="14.5"/>
  <cols>
    <col min="1" max="1" width="4.57142857142857" style="12" customWidth="1"/>
    <col min="2" max="2" width="19.5714285714286" style="11" customWidth="1"/>
    <col min="3" max="3" width="31" style="12" customWidth="1"/>
    <col min="4" max="4" width="5" style="12" customWidth="1"/>
    <col min="5" max="5" width="14.4285714285714" style="12" customWidth="1"/>
    <col min="6" max="6" width="15" style="12" customWidth="1"/>
    <col min="7" max="7" width="11.4285714285714"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14285714286" style="12" customWidth="1"/>
    <col min="17" max="17" width="14" style="12" customWidth="1"/>
    <col min="18" max="18" width="15.5714285714286" style="12" customWidth="1"/>
    <col min="19" max="19" width="14" style="12" customWidth="1"/>
    <col min="20" max="22" width="15" style="12" customWidth="1"/>
    <col min="23" max="23" width="13.4285714285714" style="12" customWidth="1"/>
    <col min="24" max="24" width="4" style="12" customWidth="1"/>
    <col min="25" max="16384" width="9" style="12"/>
  </cols>
  <sheetData>
    <row r="1" spans="5:27" ht="153" customHeight="1">
      <c r="E1" s="1"/>
      <c r="G1" s="1"/>
      <c r="I1" s="1"/>
      <c r="J1" s="1"/>
      <c r="K1" s="1"/>
      <c r="L1" s="1"/>
      <c r="M1" s="1"/>
      <c r="N1" s="1"/>
      <c r="O1" s="1"/>
      <c r="W1" s="1"/>
      <c r="X1" s="1"/>
      <c r="Y1" s="1"/>
      <c r="Z1" s="1"/>
      <c r="AA1" s="1"/>
    </row>
    <row r="3" spans="2:26" ht="14.25" customHeight="1" thickBot="1">
      <c r="B3" s="23"/>
      <c r="C3" s="56"/>
      <c r="D3" s="56"/>
      <c r="E3" s="57"/>
      <c r="F3" s="57"/>
      <c r="G3" s="57"/>
      <c r="H3" s="57"/>
      <c r="I3" s="57"/>
      <c r="J3" s="57"/>
      <c r="K3" s="57"/>
      <c r="L3" s="57"/>
      <c r="M3" s="57"/>
      <c r="N3" s="57"/>
      <c r="O3" s="57"/>
      <c r="P3" s="57"/>
      <c r="Q3" s="57"/>
      <c r="R3" s="57"/>
      <c r="S3" s="57"/>
      <c r="T3" s="57"/>
      <c r="U3" s="57"/>
      <c r="V3" s="57"/>
      <c r="W3" s="57"/>
      <c r="Z3" s="2"/>
    </row>
    <row r="4" spans="2:23"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2:23"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2:23" s="9" customFormat="1" ht="31.5" customHeight="1" thickBot="1">
      <c r="B6" s="88"/>
      <c r="C6" s="603" t="s">
        <v>550</v>
      </c>
      <c r="D6" s="177"/>
      <c r="E6" s="177"/>
      <c r="F6" s="17"/>
      <c r="G6" s="177"/>
      <c r="H6" s="178"/>
      <c r="I6" s="179"/>
      <c r="J6" s="179"/>
      <c r="K6" s="179"/>
      <c r="L6" s="179"/>
      <c r="M6" s="179"/>
      <c r="N6" s="177"/>
      <c r="O6" s="177"/>
      <c r="P6" s="177"/>
      <c r="Q6" s="177"/>
      <c r="R6" s="177"/>
      <c r="S6" s="177"/>
      <c r="T6" s="177"/>
      <c r="U6" s="177"/>
      <c r="V6" s="177"/>
      <c r="W6" s="17"/>
    </row>
    <row r="7" spans="2:23"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3" s="9" customFormat="1" ht="36" customHeight="1">
      <c r="A8" s="26"/>
      <c r="B8" s="116" t="s">
        <v>504</v>
      </c>
      <c r="C8" s="914" t="s">
        <v>663</v>
      </c>
      <c r="D8" s="914"/>
      <c r="E8" s="914"/>
      <c r="F8" s="914"/>
      <c r="G8" s="914"/>
      <c r="H8" s="914"/>
      <c r="I8" s="914"/>
      <c r="J8" s="914"/>
      <c r="K8" s="914"/>
      <c r="L8" s="914"/>
      <c r="M8" s="914"/>
      <c r="N8" s="914"/>
      <c r="O8" s="914"/>
      <c r="P8" s="914"/>
      <c r="Q8" s="914"/>
      <c r="R8" s="914"/>
      <c r="S8" s="914"/>
      <c r="T8" s="105"/>
      <c r="U8" s="105"/>
      <c r="V8" s="105"/>
      <c r="W8" s="105"/>
    </row>
    <row r="9" spans="2:23" s="9" customFormat="1" ht="47.15" customHeight="1">
      <c r="B9" s="55"/>
      <c r="C9" s="872" t="s">
        <v>674</v>
      </c>
      <c r="D9" s="872"/>
      <c r="E9" s="872"/>
      <c r="F9" s="872"/>
      <c r="G9" s="872"/>
      <c r="H9" s="872"/>
      <c r="I9" s="872"/>
      <c r="J9" s="872"/>
      <c r="K9" s="872"/>
      <c r="L9" s="872"/>
      <c r="M9" s="872"/>
      <c r="N9" s="872"/>
      <c r="O9" s="872"/>
      <c r="P9" s="872"/>
      <c r="Q9" s="872"/>
      <c r="R9" s="872"/>
      <c r="S9" s="872"/>
      <c r="T9" s="105"/>
      <c r="U9" s="105"/>
      <c r="V9" s="105"/>
      <c r="W9" s="105"/>
    </row>
    <row r="10" spans="2:22" s="9" customFormat="1" ht="38.15" customHeight="1">
      <c r="B10" s="88"/>
      <c r="C10" s="897" t="s">
        <v>675</v>
      </c>
      <c r="D10" s="872"/>
      <c r="E10" s="872"/>
      <c r="F10" s="872"/>
      <c r="G10" s="872"/>
      <c r="H10" s="872"/>
      <c r="I10" s="872"/>
      <c r="J10" s="872"/>
      <c r="K10" s="872"/>
      <c r="L10" s="872"/>
      <c r="M10" s="872"/>
      <c r="N10" s="872"/>
      <c r="O10" s="872"/>
      <c r="P10" s="872"/>
      <c r="Q10" s="872"/>
      <c r="R10" s="872"/>
      <c r="S10" s="872"/>
      <c r="T10" s="88"/>
      <c r="U10" s="88"/>
      <c r="V10" s="88"/>
    </row>
    <row r="11" spans="2: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2:28" s="50" customFormat="1" ht="17.25" customHeight="1">
      <c r="B12" s="913" t="s">
        <v>235</v>
      </c>
      <c r="C12" s="913"/>
      <c r="D12" s="181"/>
      <c r="E12" s="182" t="s">
        <v>236</v>
      </c>
      <c r="F12" s="51"/>
      <c r="G12" s="51"/>
      <c r="H12" s="44"/>
      <c r="I12" s="51"/>
      <c r="K12" s="585" t="s">
        <v>534</v>
      </c>
      <c r="L12" s="52"/>
      <c r="M12" s="52"/>
      <c r="N12" s="52"/>
      <c r="O12" s="52"/>
      <c r="P12" s="52"/>
      <c r="Q12" s="52"/>
      <c r="R12" s="52"/>
      <c r="S12" s="52"/>
      <c r="T12" s="52"/>
      <c r="U12" s="52"/>
      <c r="V12" s="52"/>
      <c r="W12" s="52"/>
      <c r="Y12" s="9"/>
      <c r="Z12" s="9"/>
      <c r="AA12" s="9"/>
      <c r="AB12" s="9"/>
    </row>
    <row r="13" spans="2: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2:23"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50 - 999 kW</v>
      </c>
      <c r="L14" s="204" t="str">
        <f>'1.  LRAMVA Summary'!G52</f>
        <v>GS 1,000 - 4,999 kW</v>
      </c>
      <c r="M14" s="204" t="str">
        <f>'1.  LRAMVA Summary'!H52</f>
        <v>USL</v>
      </c>
      <c r="N14" s="204" t="str">
        <f>'1.  LRAMVA Summary'!I52</f>
        <v>Sentinel Lighting</v>
      </c>
      <c r="O14" s="204" t="str">
        <f>'1.  LRAMVA Summary'!J52</f>
        <v>Street Lighting</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2:23" s="9" customFormat="1" ht="14.5">
      <c r="B15" s="205" t="s">
        <v>44</v>
      </c>
      <c r="C15" s="205">
        <v>0.0147</v>
      </c>
      <c r="D15" s="206"/>
      <c r="E15" s="207">
        <v>40544</v>
      </c>
      <c r="F15" s="208">
        <v>2011</v>
      </c>
      <c r="G15" s="209" t="s">
        <v>65</v>
      </c>
      <c r="H15" s="210">
        <f>C$15/12</f>
        <v>0.001225</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2:23" s="9" customFormat="1" ht="14.5">
      <c r="B16" s="213" t="s">
        <v>45</v>
      </c>
      <c r="C16" s="213">
        <v>0.0147</v>
      </c>
      <c r="D16" s="206"/>
      <c r="E16" s="207">
        <v>40575</v>
      </c>
      <c r="F16" s="208">
        <v>2011</v>
      </c>
      <c r="G16" s="209" t="s">
        <v>65</v>
      </c>
      <c r="H16" s="210">
        <f>C$15/12</f>
        <v>0.001225</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si="0" ref="W16:W25">SUM(I16:V16)</f>
        <v>0</v>
      </c>
    </row>
    <row r="17" spans="2:23" s="9" customFormat="1" ht="14.5">
      <c r="B17" s="213" t="s">
        <v>46</v>
      </c>
      <c r="C17" s="213">
        <v>0.0147</v>
      </c>
      <c r="D17" s="206"/>
      <c r="E17" s="207">
        <v>40603</v>
      </c>
      <c r="F17" s="208">
        <v>2011</v>
      </c>
      <c r="G17" s="209" t="s">
        <v>65</v>
      </c>
      <c r="H17" s="210">
        <f>C$15/12</f>
        <v>0.001225</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ht="14.5">
      <c r="B18" s="213" t="s">
        <v>47</v>
      </c>
      <c r="C18" s="213">
        <v>0.0147</v>
      </c>
      <c r="D18" s="206"/>
      <c r="E18" s="214">
        <v>40634</v>
      </c>
      <c r="F18" s="208">
        <v>2011</v>
      </c>
      <c r="G18" s="215" t="s">
        <v>66</v>
      </c>
      <c r="H18" s="210">
        <f>C$16/12</f>
        <v>0.001225</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ht="14.5">
      <c r="B19" s="213" t="s">
        <v>48</v>
      </c>
      <c r="C19" s="213">
        <v>0.0147</v>
      </c>
      <c r="D19" s="206"/>
      <c r="E19" s="214">
        <v>40664</v>
      </c>
      <c r="F19" s="208">
        <v>2011</v>
      </c>
      <c r="G19" s="215" t="s">
        <v>66</v>
      </c>
      <c r="H19" s="210">
        <f>C$16/12</f>
        <v>0.001225</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ht="14.5">
      <c r="B20" s="213" t="s">
        <v>49</v>
      </c>
      <c r="C20" s="213">
        <v>0.0147</v>
      </c>
      <c r="D20" s="206"/>
      <c r="E20" s="214">
        <v>40695</v>
      </c>
      <c r="F20" s="208">
        <v>2011</v>
      </c>
      <c r="G20" s="215" t="s">
        <v>66</v>
      </c>
      <c r="H20" s="210">
        <f>C$16/12</f>
        <v>0.001225</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ht="14.5">
      <c r="B21" s="213" t="s">
        <v>50</v>
      </c>
      <c r="C21" s="213">
        <v>0.0147</v>
      </c>
      <c r="D21" s="206"/>
      <c r="E21" s="214">
        <v>40725</v>
      </c>
      <c r="F21" s="208">
        <v>2011</v>
      </c>
      <c r="G21" s="215" t="s">
        <v>68</v>
      </c>
      <c r="H21" s="210">
        <f>C$17/12</f>
        <v>0.001225</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ht="14.5">
      <c r="B22" s="213" t="s">
        <v>51</v>
      </c>
      <c r="C22" s="213">
        <v>0.0147</v>
      </c>
      <c r="D22" s="206"/>
      <c r="E22" s="214">
        <v>40756</v>
      </c>
      <c r="F22" s="208">
        <v>2011</v>
      </c>
      <c r="G22" s="215" t="s">
        <v>68</v>
      </c>
      <c r="H22" s="210">
        <f>C$17/12</f>
        <v>0.001225</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ht="14.5">
      <c r="B23" s="213" t="s">
        <v>52</v>
      </c>
      <c r="C23" s="213">
        <v>0.0147</v>
      </c>
      <c r="D23" s="206"/>
      <c r="E23" s="214">
        <v>40787</v>
      </c>
      <c r="F23" s="208">
        <v>2011</v>
      </c>
      <c r="G23" s="215" t="s">
        <v>68</v>
      </c>
      <c r="H23" s="210">
        <f>C$17/12</f>
        <v>0.001225</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ht="14.5">
      <c r="B24" s="213" t="s">
        <v>53</v>
      </c>
      <c r="C24" s="213">
        <v>0.0147</v>
      </c>
      <c r="D24" s="206"/>
      <c r="E24" s="214">
        <v>40817</v>
      </c>
      <c r="F24" s="208">
        <v>2011</v>
      </c>
      <c r="G24" s="215" t="s">
        <v>69</v>
      </c>
      <c r="H24" s="210">
        <f>C$18/12</f>
        <v>0.001225</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ht="14.5">
      <c r="B25" s="213" t="s">
        <v>54</v>
      </c>
      <c r="C25" s="213">
        <v>0.0147</v>
      </c>
      <c r="D25" s="206"/>
      <c r="E25" s="214">
        <v>40848</v>
      </c>
      <c r="F25" s="208">
        <v>2011</v>
      </c>
      <c r="G25" s="215" t="s">
        <v>69</v>
      </c>
      <c r="H25" s="210">
        <f>C$18/12</f>
        <v>0.001225</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ht="14.5">
      <c r="B26" s="213" t="s">
        <v>55</v>
      </c>
      <c r="C26" s="213">
        <v>0.0147</v>
      </c>
      <c r="D26" s="206"/>
      <c r="E26" s="214">
        <v>40878</v>
      </c>
      <c r="F26" s="208">
        <v>2011</v>
      </c>
      <c r="G26" s="215" t="s">
        <v>69</v>
      </c>
      <c r="H26" s="210">
        <f>C$18/12</f>
        <v>0.001225</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0.0147</v>
      </c>
      <c r="D27" s="206"/>
      <c r="E27" s="216" t="s">
        <v>460</v>
      </c>
      <c r="F27" s="216"/>
      <c r="G27" s="217"/>
      <c r="H27" s="218"/>
      <c r="I27" s="219">
        <f>SUM(I15:I26)</f>
        <v>0</v>
      </c>
      <c r="J27" s="219">
        <f t="shared" si="1" ref="J27:O27">SUM(J15:J26)</f>
        <v>0</v>
      </c>
      <c r="K27" s="219">
        <f t="shared" si="1"/>
        <v>0</v>
      </c>
      <c r="L27" s="219">
        <f t="shared" si="1"/>
        <v>0</v>
      </c>
      <c r="M27" s="219">
        <f t="shared" si="1"/>
        <v>0</v>
      </c>
      <c r="N27" s="219">
        <f t="shared" si="1"/>
        <v>0</v>
      </c>
      <c r="O27" s="219">
        <f t="shared" si="1"/>
        <v>0</v>
      </c>
      <c r="P27" s="219">
        <f t="shared" si="2" ref="P27:V27">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0.0147</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ht="14.5">
      <c r="B29" s="213" t="s">
        <v>58</v>
      </c>
      <c r="C29" s="213">
        <v>0.0147</v>
      </c>
      <c r="D29" s="206"/>
      <c r="E29" s="225" t="s">
        <v>424</v>
      </c>
      <c r="F29" s="225"/>
      <c r="G29" s="226"/>
      <c r="H29" s="227"/>
      <c r="I29" s="228">
        <f>I27+I28</f>
        <v>0</v>
      </c>
      <c r="J29" s="228">
        <f t="shared" si="3" ref="J29:M29">J27+J28</f>
        <v>0</v>
      </c>
      <c r="K29" s="228">
        <f t="shared" si="3"/>
        <v>0</v>
      </c>
      <c r="L29" s="228">
        <f t="shared" si="3"/>
        <v>0</v>
      </c>
      <c r="M29" s="228">
        <f t="shared" si="3"/>
        <v>0</v>
      </c>
      <c r="N29" s="228">
        <f>N27+N28</f>
        <v>0</v>
      </c>
      <c r="O29" s="228">
        <f>O27+O28</f>
        <v>0</v>
      </c>
      <c r="P29" s="228">
        <f t="shared" si="4" ref="P29:V29">P27+P28</f>
        <v>0</v>
      </c>
      <c r="Q29" s="228">
        <f t="shared" si="4"/>
        <v>0</v>
      </c>
      <c r="R29" s="228">
        <f t="shared" si="4"/>
        <v>0</v>
      </c>
      <c r="S29" s="228">
        <f t="shared" si="4"/>
        <v>0</v>
      </c>
      <c r="T29" s="228">
        <f t="shared" si="4"/>
        <v>0</v>
      </c>
      <c r="U29" s="228">
        <f t="shared" si="4"/>
        <v>0</v>
      </c>
      <c r="V29" s="228">
        <f t="shared" si="4"/>
        <v>0</v>
      </c>
      <c r="W29" s="228">
        <f>W27+W28</f>
        <v>0</v>
      </c>
    </row>
    <row r="30" spans="2:23" s="9" customFormat="1" ht="14.5">
      <c r="B30" s="213" t="s">
        <v>59</v>
      </c>
      <c r="C30" s="213">
        <v>0.0147</v>
      </c>
      <c r="D30" s="206"/>
      <c r="E30" s="214">
        <v>40909</v>
      </c>
      <c r="F30" s="214" t="s">
        <v>178</v>
      </c>
      <c r="G30" s="215" t="s">
        <v>65</v>
      </c>
      <c r="H30" s="229">
        <f>C$19/12</f>
        <v>0.001225</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ht="14.5">
      <c r="B31" s="213" t="s">
        <v>60</v>
      </c>
      <c r="C31" s="213">
        <v>0.0147</v>
      </c>
      <c r="D31" s="206"/>
      <c r="E31" s="214">
        <v>40940</v>
      </c>
      <c r="F31" s="214" t="s">
        <v>178</v>
      </c>
      <c r="G31" s="215" t="s">
        <v>65</v>
      </c>
      <c r="H31" s="229">
        <f>C$19/12</f>
        <v>0.001225</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si="5" ref="W31:W40">SUM(I31:V31)</f>
        <v>0</v>
      </c>
    </row>
    <row r="32" spans="2:23" s="9" customFormat="1" ht="14.5">
      <c r="B32" s="213" t="s">
        <v>61</v>
      </c>
      <c r="C32" s="213">
        <v>0.010999999999999999</v>
      </c>
      <c r="D32" s="206"/>
      <c r="E32" s="214">
        <v>40969</v>
      </c>
      <c r="F32" s="214" t="s">
        <v>178</v>
      </c>
      <c r="G32" s="215" t="s">
        <v>65</v>
      </c>
      <c r="H32" s="229">
        <f>C$19/12</f>
        <v>0.001225</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ht="14.5">
      <c r="B33" s="213" t="s">
        <v>176</v>
      </c>
      <c r="C33" s="213">
        <v>0.010999999999999999</v>
      </c>
      <c r="D33" s="206"/>
      <c r="E33" s="214">
        <v>41000</v>
      </c>
      <c r="F33" s="214" t="s">
        <v>178</v>
      </c>
      <c r="G33" s="215" t="s">
        <v>66</v>
      </c>
      <c r="H33" s="232">
        <f>C$20/12</f>
        <v>0.001225</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ht="14.5">
      <c r="B34" s="213" t="s">
        <v>177</v>
      </c>
      <c r="C34" s="213">
        <v>0.010999999999999999</v>
      </c>
      <c r="D34" s="206"/>
      <c r="E34" s="214">
        <v>41030</v>
      </c>
      <c r="F34" s="214" t="s">
        <v>178</v>
      </c>
      <c r="G34" s="215" t="s">
        <v>66</v>
      </c>
      <c r="H34" s="229">
        <f>C$20/12</f>
        <v>0.001225</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ht="14.5">
      <c r="B35" s="213" t="s">
        <v>73</v>
      </c>
      <c r="C35" s="213">
        <v>0.010999999999999999</v>
      </c>
      <c r="D35" s="206"/>
      <c r="E35" s="214">
        <v>41061</v>
      </c>
      <c r="F35" s="214" t="s">
        <v>178</v>
      </c>
      <c r="G35" s="215" t="s">
        <v>66</v>
      </c>
      <c r="H35" s="229">
        <f>C$20/12</f>
        <v>0.001225</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ht="14.5">
      <c r="B36" s="213" t="s">
        <v>74</v>
      </c>
      <c r="C36" s="213">
        <v>0.010999999999999999</v>
      </c>
      <c r="D36" s="206"/>
      <c r="E36" s="214">
        <v>41091</v>
      </c>
      <c r="F36" s="214" t="s">
        <v>178</v>
      </c>
      <c r="G36" s="215" t="s">
        <v>68</v>
      </c>
      <c r="H36" s="232">
        <f>C$21/12</f>
        <v>0.001225</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ht="14.5">
      <c r="B37" s="213" t="s">
        <v>75</v>
      </c>
      <c r="C37" s="213">
        <v>0.010999999999999999</v>
      </c>
      <c r="D37" s="206"/>
      <c r="E37" s="214">
        <v>41122</v>
      </c>
      <c r="F37" s="214" t="s">
        <v>178</v>
      </c>
      <c r="G37" s="215" t="s">
        <v>68</v>
      </c>
      <c r="H37" s="229">
        <f>C$21/12</f>
        <v>0.001225</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ht="14.5">
      <c r="B38" s="213" t="s">
        <v>76</v>
      </c>
      <c r="C38" s="213">
        <v>0.010999999999999999</v>
      </c>
      <c r="D38" s="206"/>
      <c r="E38" s="214">
        <v>41153</v>
      </c>
      <c r="F38" s="214" t="s">
        <v>178</v>
      </c>
      <c r="G38" s="215" t="s">
        <v>68</v>
      </c>
      <c r="H38" s="229">
        <f>C$21/12</f>
        <v>0.001225</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ht="14.5">
      <c r="B39" s="213" t="s">
        <v>77</v>
      </c>
      <c r="C39" s="213">
        <v>0.010999999999999999</v>
      </c>
      <c r="D39" s="206"/>
      <c r="E39" s="214">
        <v>41183</v>
      </c>
      <c r="F39" s="214" t="s">
        <v>178</v>
      </c>
      <c r="G39" s="215" t="s">
        <v>69</v>
      </c>
      <c r="H39" s="232">
        <f>C$22/12</f>
        <v>0.001225</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ht="14.5">
      <c r="B40" s="213" t="s">
        <v>78</v>
      </c>
      <c r="C40" s="712">
        <v>0.010999999999999999</v>
      </c>
      <c r="D40" s="206"/>
      <c r="E40" s="214">
        <v>41214</v>
      </c>
      <c r="F40" s="214" t="s">
        <v>178</v>
      </c>
      <c r="G40" s="215" t="s">
        <v>69</v>
      </c>
      <c r="H40" s="229">
        <f>C$22/12</f>
        <v>0.001225</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ht="14.5">
      <c r="B41" s="213" t="s">
        <v>79</v>
      </c>
      <c r="C41" s="712">
        <v>0.010999999999999999</v>
      </c>
      <c r="D41" s="206"/>
      <c r="E41" s="214">
        <v>41244</v>
      </c>
      <c r="F41" s="214" t="s">
        <v>178</v>
      </c>
      <c r="G41" s="215" t="s">
        <v>69</v>
      </c>
      <c r="H41" s="229">
        <f>C$22/12</f>
        <v>0.001225</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12">
        <v>0.014999999999999999</v>
      </c>
      <c r="D42" s="206"/>
      <c r="E42" s="216" t="s">
        <v>461</v>
      </c>
      <c r="F42" s="216"/>
      <c r="G42" s="217"/>
      <c r="H42" s="234"/>
      <c r="I42" s="219">
        <f>SUM(I29:I41)</f>
        <v>0</v>
      </c>
      <c r="J42" s="219">
        <f t="shared" si="6" ref="J42:O42">SUM(J29:J41)</f>
        <v>0</v>
      </c>
      <c r="K42" s="219">
        <f t="shared" si="6"/>
        <v>0</v>
      </c>
      <c r="L42" s="219">
        <f t="shared" si="6"/>
        <v>0</v>
      </c>
      <c r="M42" s="219">
        <f t="shared" si="6"/>
        <v>0</v>
      </c>
      <c r="N42" s="219">
        <f t="shared" si="6"/>
        <v>0</v>
      </c>
      <c r="O42" s="219">
        <f t="shared" si="6"/>
        <v>0</v>
      </c>
      <c r="P42" s="219">
        <f t="shared" si="7" ref="P42:V42">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12">
        <v>0.014999999999999999</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ht="14.5">
      <c r="B44" s="213" t="s">
        <v>82</v>
      </c>
      <c r="C44" s="712">
        <v>0.0189</v>
      </c>
      <c r="D44" s="206"/>
      <c r="E44" s="225" t="s">
        <v>425</v>
      </c>
      <c r="F44" s="225"/>
      <c r="G44" s="226"/>
      <c r="H44" s="227"/>
      <c r="I44" s="228">
        <f t="shared" si="8" ref="I44:O44">I42+I43</f>
        <v>0</v>
      </c>
      <c r="J44" s="228">
        <f t="shared" si="8"/>
        <v>0</v>
      </c>
      <c r="K44" s="228">
        <f t="shared" si="8"/>
        <v>0</v>
      </c>
      <c r="L44" s="228">
        <f t="shared" si="8"/>
        <v>0</v>
      </c>
      <c r="M44" s="228">
        <f t="shared" si="8"/>
        <v>0</v>
      </c>
      <c r="N44" s="228">
        <f t="shared" si="8"/>
        <v>0</v>
      </c>
      <c r="O44" s="228">
        <f t="shared" si="8"/>
        <v>0</v>
      </c>
      <c r="P44" s="228">
        <f t="shared" si="9" ref="P44:V44">P42+P43</f>
        <v>0</v>
      </c>
      <c r="Q44" s="228">
        <f t="shared" si="9"/>
        <v>0</v>
      </c>
      <c r="R44" s="228">
        <f t="shared" si="9"/>
        <v>0</v>
      </c>
      <c r="S44" s="228">
        <f t="shared" si="9"/>
        <v>0</v>
      </c>
      <c r="T44" s="228">
        <f t="shared" si="9"/>
        <v>0</v>
      </c>
      <c r="U44" s="228">
        <f t="shared" si="9"/>
        <v>0</v>
      </c>
      <c r="V44" s="228">
        <f t="shared" si="9"/>
        <v>0</v>
      </c>
      <c r="W44" s="228">
        <f>W42+W43</f>
        <v>0</v>
      </c>
    </row>
    <row r="45" spans="2:23" s="9" customFormat="1" ht="14.5">
      <c r="B45" s="213" t="s">
        <v>83</v>
      </c>
      <c r="C45" s="712">
        <v>0.0189</v>
      </c>
      <c r="D45" s="206"/>
      <c r="E45" s="214">
        <v>41275</v>
      </c>
      <c r="F45" s="214" t="s">
        <v>179</v>
      </c>
      <c r="G45" s="215" t="s">
        <v>65</v>
      </c>
      <c r="H45" s="232">
        <f>C$23/12</f>
        <v>0.001225</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ht="14.5">
      <c r="B46" s="213" t="s">
        <v>84</v>
      </c>
      <c r="C46" s="712">
        <v>0.021700000000000001</v>
      </c>
      <c r="D46" s="206"/>
      <c r="E46" s="214">
        <v>41306</v>
      </c>
      <c r="F46" s="214" t="s">
        <v>179</v>
      </c>
      <c r="G46" s="215" t="s">
        <v>65</v>
      </c>
      <c r="H46" s="229">
        <f>C$23/12</f>
        <v>0.001225</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si="10" ref="W46:W56">SUM(I46:V46)</f>
        <v>0</v>
      </c>
    </row>
    <row r="47" spans="2:23" s="9" customFormat="1" ht="14.5">
      <c r="B47" s="213" t="s">
        <v>85</v>
      </c>
      <c r="C47" s="728">
        <v>0.024500000000000001</v>
      </c>
      <c r="D47" s="206"/>
      <c r="E47" s="214">
        <v>41334</v>
      </c>
      <c r="F47" s="214" t="s">
        <v>179</v>
      </c>
      <c r="G47" s="215" t="s">
        <v>65</v>
      </c>
      <c r="H47" s="229">
        <f>C$23/12</f>
        <v>0.001225</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ht="14.5">
      <c r="B48" s="213" t="s">
        <v>86</v>
      </c>
      <c r="C48" s="728">
        <v>0.0218</v>
      </c>
      <c r="D48" s="206"/>
      <c r="E48" s="214">
        <v>41365</v>
      </c>
      <c r="F48" s="214" t="s">
        <v>179</v>
      </c>
      <c r="G48" s="215" t="s">
        <v>66</v>
      </c>
      <c r="H48" s="232">
        <f>C$24/12</f>
        <v>0.001225</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2:23" s="9" customFormat="1" ht="14.5">
      <c r="B49" s="213" t="s">
        <v>87</v>
      </c>
      <c r="C49" s="728">
        <v>0.0218</v>
      </c>
      <c r="D49" s="206"/>
      <c r="E49" s="214">
        <v>41395</v>
      </c>
      <c r="F49" s="214" t="s">
        <v>179</v>
      </c>
      <c r="G49" s="215" t="s">
        <v>66</v>
      </c>
      <c r="H49" s="229">
        <f>C$24/12</f>
        <v>0.001225</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2:23" s="9" customFormat="1" ht="14.5">
      <c r="B50" s="213" t="s">
        <v>88</v>
      </c>
      <c r="C50" s="728">
        <v>0.0218</v>
      </c>
      <c r="D50" s="206"/>
      <c r="E50" s="214">
        <v>41426</v>
      </c>
      <c r="F50" s="214" t="s">
        <v>179</v>
      </c>
      <c r="G50" s="215" t="s">
        <v>66</v>
      </c>
      <c r="H50" s="229">
        <f>C$24/12</f>
        <v>0.001225</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2:23" s="9" customFormat="1" ht="14.5">
      <c r="B51" s="213" t="s">
        <v>89</v>
      </c>
      <c r="C51" s="728">
        <v>0.0218</v>
      </c>
      <c r="D51" s="206"/>
      <c r="E51" s="214">
        <v>41456</v>
      </c>
      <c r="F51" s="214" t="s">
        <v>179</v>
      </c>
      <c r="G51" s="215" t="s">
        <v>68</v>
      </c>
      <c r="H51" s="232">
        <f>C$25/12</f>
        <v>0.001225</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2:23" s="9" customFormat="1" ht="14.5">
      <c r="B52" s="213" t="s">
        <v>91</v>
      </c>
      <c r="C52" s="233">
        <v>0.0218</v>
      </c>
      <c r="D52" s="206"/>
      <c r="E52" s="214">
        <v>41487</v>
      </c>
      <c r="F52" s="214" t="s">
        <v>179</v>
      </c>
      <c r="G52" s="215" t="s">
        <v>68</v>
      </c>
      <c r="H52" s="229">
        <f>C$25/12</f>
        <v>0.001225</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2:23" s="9" customFormat="1" ht="14.5">
      <c r="B53" s="213" t="s">
        <v>90</v>
      </c>
      <c r="C53" s="233">
        <v>0.0057000000000000002</v>
      </c>
      <c r="D53" s="206"/>
      <c r="E53" s="214">
        <v>41518</v>
      </c>
      <c r="F53" s="214" t="s">
        <v>179</v>
      </c>
      <c r="G53" s="215" t="s">
        <v>68</v>
      </c>
      <c r="H53" s="229">
        <f>C$25/12</f>
        <v>0.001225</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2:23" s="9" customFormat="1" ht="14.5">
      <c r="B54" s="235" t="s">
        <v>92</v>
      </c>
      <c r="C54" s="236">
        <f>C53</f>
        <v>0.0057000000000000002</v>
      </c>
      <c r="D54" s="206"/>
      <c r="E54" s="214">
        <v>41548</v>
      </c>
      <c r="F54" s="214" t="s">
        <v>179</v>
      </c>
      <c r="G54" s="215" t="s">
        <v>69</v>
      </c>
      <c r="H54" s="232">
        <f>C$26/12</f>
        <v>0.001225</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2:23" s="9" customFormat="1" ht="14.5">
      <c r="B55" s="213" t="s">
        <v>705</v>
      </c>
      <c r="C55" s="233">
        <f>C54</f>
        <v>0.0057000000000000002</v>
      </c>
      <c r="D55" s="206"/>
      <c r="E55" s="214">
        <v>41579</v>
      </c>
      <c r="F55" s="214" t="s">
        <v>179</v>
      </c>
      <c r="G55" s="215" t="s">
        <v>69</v>
      </c>
      <c r="H55" s="229">
        <f>C$26/12</f>
        <v>0.001225</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2:23" s="9" customFormat="1" ht="14.5">
      <c r="B56" s="213" t="s">
        <v>706</v>
      </c>
      <c r="C56" s="233"/>
      <c r="D56" s="206"/>
      <c r="E56" s="214">
        <v>41609</v>
      </c>
      <c r="F56" s="214" t="s">
        <v>179</v>
      </c>
      <c r="G56" s="215" t="s">
        <v>69</v>
      </c>
      <c r="H56" s="229">
        <f>C$26/12</f>
        <v>0.001225</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2:23" s="9" customFormat="1" ht="15" thickBot="1">
      <c r="B57" s="213" t="s">
        <v>707</v>
      </c>
      <c r="C57" s="233"/>
      <c r="D57" s="206"/>
      <c r="E57" s="216" t="s">
        <v>462</v>
      </c>
      <c r="F57" s="216"/>
      <c r="G57" s="217"/>
      <c r="H57" s="218"/>
      <c r="I57" s="219">
        <f>SUM(I44:I56)</f>
        <v>0</v>
      </c>
      <c r="J57" s="219">
        <f t="shared" si="11" ref="J57:O57">SUM(J44:J56)</f>
        <v>0</v>
      </c>
      <c r="K57" s="219">
        <f t="shared" si="11"/>
        <v>0</v>
      </c>
      <c r="L57" s="219">
        <f t="shared" si="11"/>
        <v>0</v>
      </c>
      <c r="M57" s="219">
        <f t="shared" si="11"/>
        <v>0</v>
      </c>
      <c r="N57" s="219">
        <f t="shared" si="11"/>
        <v>0</v>
      </c>
      <c r="O57" s="219">
        <f t="shared" si="11"/>
        <v>0</v>
      </c>
      <c r="P57" s="219">
        <f t="shared" si="12" ref="P57:V57">SUM(P44:P56)</f>
        <v>0</v>
      </c>
      <c r="Q57" s="219">
        <f t="shared" si="12"/>
        <v>0</v>
      </c>
      <c r="R57" s="219">
        <f t="shared" si="12"/>
        <v>0</v>
      </c>
      <c r="S57" s="219">
        <f t="shared" si="12"/>
        <v>0</v>
      </c>
      <c r="T57" s="219">
        <f t="shared" si="12"/>
        <v>0</v>
      </c>
      <c r="U57" s="219">
        <f t="shared" si="12"/>
        <v>0</v>
      </c>
      <c r="V57" s="219">
        <f t="shared" si="12"/>
        <v>0</v>
      </c>
      <c r="W57" s="219">
        <f>SUM(W44:W56)</f>
        <v>0</v>
      </c>
    </row>
    <row r="58" spans="2:23" s="9" customFormat="1" ht="15" thickTop="1">
      <c r="B58" s="235" t="s">
        <v>708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2:23" s="9" customFormat="1" ht="14.5">
      <c r="B59" s="213" t="s">
        <v>709</v>
      </c>
      <c r="C59" s="233"/>
      <c r="D59" s="206"/>
      <c r="E59" s="225" t="s">
        <v>426</v>
      </c>
      <c r="F59" s="225"/>
      <c r="G59" s="226"/>
      <c r="H59" s="227"/>
      <c r="I59" s="228">
        <f t="shared" si="13" ref="I59:W59">I57+I58</f>
        <v>0</v>
      </c>
      <c r="J59" s="228">
        <f t="shared" si="13"/>
        <v>0</v>
      </c>
      <c r="K59" s="228">
        <f t="shared" si="13"/>
        <v>0</v>
      </c>
      <c r="L59" s="228">
        <f t="shared" si="13"/>
        <v>0</v>
      </c>
      <c r="M59" s="228">
        <f t="shared" si="13"/>
        <v>0</v>
      </c>
      <c r="N59" s="228">
        <f t="shared" si="13"/>
        <v>0</v>
      </c>
      <c r="O59" s="228">
        <f t="shared" si="13"/>
        <v>0</v>
      </c>
      <c r="P59" s="228">
        <f t="shared" si="14" ref="P59:V59">P57+P58</f>
        <v>0</v>
      </c>
      <c r="Q59" s="228">
        <f t="shared" si="14"/>
        <v>0</v>
      </c>
      <c r="R59" s="228">
        <f t="shared" si="14"/>
        <v>0</v>
      </c>
      <c r="S59" s="228">
        <f t="shared" si="14"/>
        <v>0</v>
      </c>
      <c r="T59" s="228">
        <f t="shared" si="14"/>
        <v>0</v>
      </c>
      <c r="U59" s="228">
        <f t="shared" si="14"/>
        <v>0</v>
      </c>
      <c r="V59" s="228">
        <f t="shared" si="14"/>
        <v>0</v>
      </c>
      <c r="W59" s="228">
        <f t="shared" si="13"/>
        <v>0</v>
      </c>
    </row>
    <row r="60" spans="2:23" s="9" customFormat="1" ht="14.5">
      <c r="B60" s="213" t="s">
        <v>710</v>
      </c>
      <c r="C60" s="233"/>
      <c r="D60" s="206"/>
      <c r="E60" s="214">
        <v>41640</v>
      </c>
      <c r="F60" s="214" t="s">
        <v>180</v>
      </c>
      <c r="G60" s="215" t="s">
        <v>65</v>
      </c>
      <c r="H60" s="232">
        <f>C$27/12</f>
        <v>0.001225</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ht="14.5">
      <c r="A61" s="28"/>
      <c r="B61" s="213" t="s">
        <v>711</v>
      </c>
      <c r="C61" s="233"/>
      <c r="E61" s="214">
        <v>41671</v>
      </c>
      <c r="F61" s="214" t="s">
        <v>180</v>
      </c>
      <c r="G61" s="215" t="s">
        <v>65</v>
      </c>
      <c r="H61" s="229">
        <f>C$27/12</f>
        <v>0.001225</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si="15" ref="W61:W71">SUM(I61:V61)</f>
        <v>0</v>
      </c>
    </row>
    <row r="62" spans="2:23" s="9" customFormat="1" ht="14.5">
      <c r="B62" s="235" t="s">
        <v>712</v>
      </c>
      <c r="C62" s="236"/>
      <c r="E62" s="214">
        <v>41699</v>
      </c>
      <c r="F62" s="214" t="s">
        <v>180</v>
      </c>
      <c r="G62" s="215" t="s">
        <v>65</v>
      </c>
      <c r="H62" s="229">
        <f>C$27/12</f>
        <v>0.001225</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2:23" s="9" customFormat="1" ht="14.5">
      <c r="B63" s="213" t="s">
        <v>723</v>
      </c>
      <c r="C63" s="233"/>
      <c r="E63" s="214">
        <v>41730</v>
      </c>
      <c r="F63" s="214" t="s">
        <v>180</v>
      </c>
      <c r="G63" s="215" t="s">
        <v>66</v>
      </c>
      <c r="H63" s="232">
        <f>C$28/12</f>
        <v>0.001225</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2:23" s="9" customFormat="1" ht="14.5">
      <c r="B64" s="213" t="s">
        <v>724</v>
      </c>
      <c r="C64" s="233"/>
      <c r="E64" s="214">
        <v>41760</v>
      </c>
      <c r="F64" s="214" t="s">
        <v>180</v>
      </c>
      <c r="G64" s="215" t="s">
        <v>66</v>
      </c>
      <c r="H64" s="229">
        <f>C$28/12</f>
        <v>0.001225</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ht="14.5">
      <c r="B65" s="213" t="s">
        <v>725</v>
      </c>
      <c r="C65" s="233"/>
      <c r="E65" s="214">
        <v>41791</v>
      </c>
      <c r="F65" s="214" t="s">
        <v>180</v>
      </c>
      <c r="G65" s="215" t="s">
        <v>66</v>
      </c>
      <c r="H65" s="229">
        <f>C$28/12</f>
        <v>0.001225</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ht="14.5">
      <c r="B66" s="235" t="s">
        <v>726</v>
      </c>
      <c r="C66" s="236"/>
      <c r="E66" s="214">
        <v>41821</v>
      </c>
      <c r="F66" s="214" t="s">
        <v>180</v>
      </c>
      <c r="G66" s="215" t="s">
        <v>68</v>
      </c>
      <c r="H66" s="232">
        <f>C$29/12</f>
        <v>0.001225</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ht="14.5">
      <c r="B67" s="213" t="s">
        <v>728</v>
      </c>
      <c r="C67" s="233"/>
      <c r="E67" s="214">
        <v>41852</v>
      </c>
      <c r="F67" s="214" t="s">
        <v>180</v>
      </c>
      <c r="G67" s="215" t="s">
        <v>68</v>
      </c>
      <c r="H67" s="229">
        <f>C$29/12</f>
        <v>0.001225</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ht="14.5">
      <c r="B68" s="213" t="s">
        <v>729</v>
      </c>
      <c r="C68" s="233"/>
      <c r="E68" s="214">
        <v>41883</v>
      </c>
      <c r="F68" s="214" t="s">
        <v>180</v>
      </c>
      <c r="G68" s="215" t="s">
        <v>68</v>
      </c>
      <c r="H68" s="229">
        <f>C$29/12</f>
        <v>0.001225</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ht="14.5">
      <c r="B69" s="213" t="s">
        <v>730</v>
      </c>
      <c r="C69" s="233"/>
      <c r="E69" s="214">
        <v>41913</v>
      </c>
      <c r="F69" s="214" t="s">
        <v>180</v>
      </c>
      <c r="G69" s="215" t="s">
        <v>69</v>
      </c>
      <c r="H69" s="232">
        <f>C$30/12</f>
        <v>0.001225</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ht="14.5">
      <c r="B70" s="235" t="s">
        <v>731</v>
      </c>
      <c r="C70" s="236"/>
      <c r="E70" s="214">
        <v>41944</v>
      </c>
      <c r="F70" s="214" t="s">
        <v>180</v>
      </c>
      <c r="G70" s="215" t="s">
        <v>69</v>
      </c>
      <c r="H70" s="229">
        <f>C$30/12</f>
        <v>0.001225</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ht="14.5">
      <c r="B71" s="213" t="s">
        <v>732</v>
      </c>
      <c r="C71" s="233"/>
      <c r="E71" s="214">
        <v>41974</v>
      </c>
      <c r="F71" s="214" t="s">
        <v>180</v>
      </c>
      <c r="G71" s="215" t="s">
        <v>69</v>
      </c>
      <c r="H71" s="229">
        <f>C$30/12</f>
        <v>0.001225</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733</v>
      </c>
      <c r="C72" s="233"/>
      <c r="E72" s="216" t="s">
        <v>463</v>
      </c>
      <c r="F72" s="216"/>
      <c r="G72" s="217"/>
      <c r="H72" s="218"/>
      <c r="I72" s="219">
        <f>SUM(I59:I71)</f>
        <v>0</v>
      </c>
      <c r="J72" s="219">
        <f t="shared" si="16" ref="J72:V72">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734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ht="14.5">
      <c r="B74" s="235" t="s">
        <v>735</v>
      </c>
      <c r="C74" s="236"/>
      <c r="E74" s="225" t="s">
        <v>427</v>
      </c>
      <c r="F74" s="225"/>
      <c r="G74" s="226"/>
      <c r="H74" s="227"/>
      <c r="I74" s="228">
        <f t="shared" si="17" ref="I74:O74">I72+I73</f>
        <v>0</v>
      </c>
      <c r="J74" s="228">
        <f t="shared" si="17"/>
        <v>0</v>
      </c>
      <c r="K74" s="228">
        <f t="shared" si="17"/>
        <v>0</v>
      </c>
      <c r="L74" s="228">
        <f t="shared" si="17"/>
        <v>0</v>
      </c>
      <c r="M74" s="228">
        <f t="shared" si="17"/>
        <v>0</v>
      </c>
      <c r="N74" s="228">
        <f t="shared" si="17"/>
        <v>0</v>
      </c>
      <c r="O74" s="228">
        <f t="shared" si="17"/>
        <v>0</v>
      </c>
      <c r="P74" s="228">
        <f t="shared" si="18" ref="P74:V74">P72+P73</f>
        <v>0</v>
      </c>
      <c r="Q74" s="228">
        <f t="shared" si="18"/>
        <v>0</v>
      </c>
      <c r="R74" s="228">
        <f t="shared" si="18"/>
        <v>0</v>
      </c>
      <c r="S74" s="228">
        <f t="shared" si="18"/>
        <v>0</v>
      </c>
      <c r="T74" s="228">
        <f t="shared" si="18"/>
        <v>0</v>
      </c>
      <c r="U74" s="228">
        <f t="shared" si="18"/>
        <v>0</v>
      </c>
      <c r="V74" s="228">
        <f t="shared" si="18"/>
        <v>0</v>
      </c>
      <c r="W74" s="228">
        <f>W72+W73</f>
        <v>0</v>
      </c>
    </row>
    <row r="75" spans="2:23" s="9" customFormat="1" ht="14.5">
      <c r="B75" s="66"/>
      <c r="E75" s="214">
        <v>42005</v>
      </c>
      <c r="F75" s="214" t="s">
        <v>181</v>
      </c>
      <c r="G75" s="215" t="s">
        <v>65</v>
      </c>
      <c r="H75" s="229">
        <f>C$31/12</f>
        <v>0.001225</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ht="14.5">
      <c r="B76" s="237"/>
      <c r="E76" s="214">
        <v>42036</v>
      </c>
      <c r="F76" s="214" t="s">
        <v>181</v>
      </c>
      <c r="G76" s="215" t="s">
        <v>65</v>
      </c>
      <c r="H76" s="229">
        <f t="shared" si="19" ref="H76:H77">C$31/12</f>
        <v>0.001225</v>
      </c>
      <c r="I76" s="230">
        <f>(SUM('1.  LRAMVA Summary'!D$54:D$65)+SUM('1.  LRAMVA Summary'!D$66:D$67)*(MONTH($E76)-1)/12)*$H76</f>
        <v>1.5652261389250617</v>
      </c>
      <c r="J76" s="230">
        <f>(SUM('1.  LRAMVA Summary'!E$54:E$65)+SUM('1.  LRAMVA Summary'!E$66:E$67)*(MONTH($E76)-1)/12)*$H76</f>
        <v>2.5978251437406343</v>
      </c>
      <c r="K76" s="230">
        <f>(SUM('1.  LRAMVA Summary'!F$54:F$65)+SUM('1.  LRAMVA Summary'!F$66:F$67)*(MONTH($E76)-1)/12)*$H76</f>
        <v>2.2266977889096977</v>
      </c>
      <c r="L76" s="230">
        <f>(SUM('1.  LRAMVA Summary'!G$54:G$65)+SUM('1.  LRAMVA Summary'!G$66:G$67)*(MONTH($E76)-1)/12)*$H76</f>
        <v>1.3956723867466669</v>
      </c>
      <c r="M76" s="230">
        <f>(SUM('1.  LRAMVA Summary'!H$54:H$65)+SUM('1.  LRAMVA Summary'!H$66:H$67)*(MONTH($E76)-1)/12)*$H76</f>
        <v>0</v>
      </c>
      <c r="N76" s="230">
        <f>(SUM('1.  LRAMVA Summary'!I$54:I$65)+SUM('1.  LRAMVA Summary'!I$66:I$67)*(MONTH($E76)-1)/12)*$H76</f>
        <v>0</v>
      </c>
      <c r="O76" s="230">
        <f>(SUM('1.  LRAMVA Summary'!J$54:J$65)+SUM('1.  LRAMVA Summary'!J$66:J$67)*(MONTH($E76)-1)/12)*$H76</f>
        <v>0.18752384956934962</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7.9729453078914112</v>
      </c>
    </row>
    <row r="77" spans="2:23" s="9" customFormat="1" ht="15.5">
      <c r="B77" s="183" t="s">
        <v>182</v>
      </c>
      <c r="E77" s="214">
        <v>42064</v>
      </c>
      <c r="F77" s="214" t="s">
        <v>181</v>
      </c>
      <c r="G77" s="215" t="s">
        <v>65</v>
      </c>
      <c r="H77" s="229">
        <f t="shared" si="19"/>
        <v>0.001225</v>
      </c>
      <c r="I77" s="230">
        <f>(SUM('1.  LRAMVA Summary'!D$54:D$65)+SUM('1.  LRAMVA Summary'!D$66:D$67)*(MONTH($E77)-1)/12)*$H77</f>
        <v>3.1304522778501234</v>
      </c>
      <c r="J77" s="230">
        <f>(SUM('1.  LRAMVA Summary'!E$54:E$65)+SUM('1.  LRAMVA Summary'!E$66:E$67)*(MONTH($E77)-1)/12)*$H77</f>
        <v>5.1956502874812687</v>
      </c>
      <c r="K77" s="230">
        <f>(SUM('1.  LRAMVA Summary'!F$54:F$65)+SUM('1.  LRAMVA Summary'!F$66:F$67)*(MONTH($E77)-1)/12)*$H77</f>
        <v>4.4533955778193954</v>
      </c>
      <c r="L77" s="230">
        <f>(SUM('1.  LRAMVA Summary'!G$54:G$65)+SUM('1.  LRAMVA Summary'!G$66:G$67)*(MONTH($E77)-1)/12)*$H77</f>
        <v>2.7913447734933339</v>
      </c>
      <c r="M77" s="230">
        <f>(SUM('1.  LRAMVA Summary'!H$54:H$65)+SUM('1.  LRAMVA Summary'!H$66:H$67)*(MONTH($E77)-1)/12)*$H77</f>
        <v>0</v>
      </c>
      <c r="N77" s="230">
        <f>(SUM('1.  LRAMVA Summary'!I$54:I$65)+SUM('1.  LRAMVA Summary'!I$66:I$67)*(MONTH($E77)-1)/12)*$H77</f>
        <v>0</v>
      </c>
      <c r="O77" s="230">
        <f>(SUM('1.  LRAMVA Summary'!J$54:J$65)+SUM('1.  LRAMVA Summary'!J$66:J$67)*(MONTH($E77)-1)/12)*$H77</f>
        <v>0.37504769913869923</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15.945890615782822</v>
      </c>
    </row>
    <row r="78" spans="2:23" s="9" customFormat="1" ht="14.5">
      <c r="B78" s="66"/>
      <c r="E78" s="214">
        <v>42095</v>
      </c>
      <c r="F78" s="214" t="s">
        <v>181</v>
      </c>
      <c r="G78" s="215" t="s">
        <v>66</v>
      </c>
      <c r="H78" s="229">
        <f>C$32/12</f>
        <v>0.00091666666666666665</v>
      </c>
      <c r="I78" s="230">
        <f>(SUM('1.  LRAMVA Summary'!D$54:D$65)+SUM('1.  LRAMVA Summary'!D$66:D$67)*(MONTH($E78)-1)/12)*$H78</f>
        <v>3.5137729649338123</v>
      </c>
      <c r="J78" s="230">
        <f>(SUM('1.  LRAMVA Summary'!E$54:E$65)+SUM('1.  LRAMVA Summary'!E$66:E$67)*(MONTH($E78)-1)/12)*$H78</f>
        <v>5.831852363499384</v>
      </c>
      <c r="K78" s="230">
        <f>(SUM('1.  LRAMVA Summary'!F$54:F$65)+SUM('1.  LRAMVA Summary'!F$66:F$67)*(MONTH($E78)-1)/12)*$H78</f>
        <v>4.9987093220421785</v>
      </c>
      <c r="L78" s="230">
        <f>(SUM('1.  LRAMVA Summary'!G$54:G$65)+SUM('1.  LRAMVA Summary'!G$66:G$67)*(MONTH($E78)-1)/12)*$H78</f>
        <v>3.1331420926965992</v>
      </c>
      <c r="M78" s="230">
        <f>(SUM('1.  LRAMVA Summary'!H$54:H$65)+SUM('1.  LRAMVA Summary'!H$66:H$67)*(MONTH($E78)-1)/12)*$H78</f>
        <v>0</v>
      </c>
      <c r="N78" s="230">
        <f>(SUM('1.  LRAMVA Summary'!I$54:I$65)+SUM('1.  LRAMVA Summary'!I$66:I$67)*(MONTH($E78)-1)/12)*$H78</f>
        <v>0</v>
      </c>
      <c r="O78" s="230">
        <f>(SUM('1.  LRAMVA Summary'!J$54:J$65)+SUM('1.  LRAMVA Summary'!J$66:J$67)*(MONTH($E78)-1)/12)*$H78</f>
        <v>0.42097190719649918</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si="20" ref="W78:W86">SUM(I78:V78)</f>
        <v>17.898448650368472</v>
      </c>
    </row>
    <row r="79" spans="2:23" s="9" customFormat="1" ht="14.5">
      <c r="B79" s="66"/>
      <c r="E79" s="214">
        <v>42125</v>
      </c>
      <c r="F79" s="214" t="s">
        <v>181</v>
      </c>
      <c r="G79" s="215" t="s">
        <v>66</v>
      </c>
      <c r="H79" s="229">
        <f t="shared" si="21" ref="H79:H80">C$32/12</f>
        <v>0.00091666666666666665</v>
      </c>
      <c r="I79" s="230">
        <f>(SUM('1.  LRAMVA Summary'!D$54:D$65)+SUM('1.  LRAMVA Summary'!D$66:D$67)*(MONTH($E79)-1)/12)*$H79</f>
        <v>4.6850306199117489</v>
      </c>
      <c r="J79" s="230">
        <f>(SUM('1.  LRAMVA Summary'!E$54:E$65)+SUM('1.  LRAMVA Summary'!E$66:E$67)*(MONTH($E79)-1)/12)*$H79</f>
        <v>7.7758031513325117</v>
      </c>
      <c r="K79" s="230">
        <f>(SUM('1.  LRAMVA Summary'!F$54:F$65)+SUM('1.  LRAMVA Summary'!F$66:F$67)*(MONTH($E79)-1)/12)*$H79</f>
        <v>6.6649457627229047</v>
      </c>
      <c r="L79" s="230">
        <f>(SUM('1.  LRAMVA Summary'!G$54:G$65)+SUM('1.  LRAMVA Summary'!G$66:G$67)*(MONTH($E79)-1)/12)*$H79</f>
        <v>4.1775227902621319</v>
      </c>
      <c r="M79" s="230">
        <f>(SUM('1.  LRAMVA Summary'!H$54:H$65)+SUM('1.  LRAMVA Summary'!H$66:H$67)*(MONTH($E79)-1)/12)*$H79</f>
        <v>0</v>
      </c>
      <c r="N79" s="230">
        <f>(SUM('1.  LRAMVA Summary'!I$54:I$65)+SUM('1.  LRAMVA Summary'!I$66:I$67)*(MONTH($E79)-1)/12)*$H79</f>
        <v>0</v>
      </c>
      <c r="O79" s="230">
        <f>(SUM('1.  LRAMVA Summary'!J$54:J$65)+SUM('1.  LRAMVA Summary'!J$66:J$67)*(MONTH($E79)-1)/12)*$H79</f>
        <v>0.56129587626199884</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23.864598200491294</v>
      </c>
    </row>
    <row r="80" spans="2:23" s="9" customFormat="1" ht="14.5">
      <c r="B80" s="66"/>
      <c r="E80" s="214">
        <v>42156</v>
      </c>
      <c r="F80" s="214" t="s">
        <v>181</v>
      </c>
      <c r="G80" s="215" t="s">
        <v>66</v>
      </c>
      <c r="H80" s="229">
        <f t="shared" si="21"/>
        <v>0.00091666666666666665</v>
      </c>
      <c r="I80" s="230">
        <f>(SUM('1.  LRAMVA Summary'!D$54:D$65)+SUM('1.  LRAMVA Summary'!D$66:D$67)*(MONTH($E80)-1)/12)*$H80</f>
        <v>5.8562882748896872</v>
      </c>
      <c r="J80" s="230">
        <f>(SUM('1.  LRAMVA Summary'!E$54:E$65)+SUM('1.  LRAMVA Summary'!E$66:E$67)*(MONTH($E80)-1)/12)*$H80</f>
        <v>9.7197539391656402</v>
      </c>
      <c r="K80" s="230">
        <f>(SUM('1.  LRAMVA Summary'!F$54:F$65)+SUM('1.  LRAMVA Summary'!F$66:F$67)*(MONTH($E80)-1)/12)*$H80</f>
        <v>8.3311822034036318</v>
      </c>
      <c r="L80" s="230">
        <f>(SUM('1.  LRAMVA Summary'!G$54:G$65)+SUM('1.  LRAMVA Summary'!G$66:G$67)*(MONTH($E80)-1)/12)*$H80</f>
        <v>5.2219034878276656</v>
      </c>
      <c r="M80" s="230">
        <f>(SUM('1.  LRAMVA Summary'!H$54:H$65)+SUM('1.  LRAMVA Summary'!H$66:H$67)*(MONTH($E80)-1)/12)*$H80</f>
        <v>0</v>
      </c>
      <c r="N80" s="230">
        <f>(SUM('1.  LRAMVA Summary'!I$54:I$65)+SUM('1.  LRAMVA Summary'!I$66:I$67)*(MONTH($E80)-1)/12)*$H80</f>
        <v>0</v>
      </c>
      <c r="O80" s="230">
        <f>(SUM('1.  LRAMVA Summary'!J$54:J$65)+SUM('1.  LRAMVA Summary'!J$66:J$67)*(MONTH($E80)-1)/12)*$H80</f>
        <v>0.70161984532749866</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29.830747750614123</v>
      </c>
    </row>
    <row r="81" spans="2:23" s="9" customFormat="1" ht="14.5">
      <c r="B81" s="66"/>
      <c r="E81" s="214">
        <v>42186</v>
      </c>
      <c r="F81" s="214" t="s">
        <v>181</v>
      </c>
      <c r="G81" s="215" t="s">
        <v>68</v>
      </c>
      <c r="H81" s="229">
        <f>C$33/12</f>
        <v>0.00091666666666666665</v>
      </c>
      <c r="I81" s="230">
        <f>(SUM('1.  LRAMVA Summary'!D$54:D$65)+SUM('1.  LRAMVA Summary'!D$66:D$67)*(MONTH($E81)-1)/12)*$H81</f>
        <v>7.0275459298676246</v>
      </c>
      <c r="J81" s="230">
        <f>(SUM('1.  LRAMVA Summary'!E$54:E$65)+SUM('1.  LRAMVA Summary'!E$66:E$67)*(MONTH($E81)-1)/12)*$H81</f>
        <v>11.663704726998768</v>
      </c>
      <c r="K81" s="230">
        <f>(SUM('1.  LRAMVA Summary'!F$54:F$65)+SUM('1.  LRAMVA Summary'!F$66:F$67)*(MONTH($E81)-1)/12)*$H81</f>
        <v>9.9974186440843571</v>
      </c>
      <c r="L81" s="230">
        <f>(SUM('1.  LRAMVA Summary'!G$54:G$65)+SUM('1.  LRAMVA Summary'!G$66:G$67)*(MONTH($E81)-1)/12)*$H81</f>
        <v>6.2662841853931983</v>
      </c>
      <c r="M81" s="230">
        <f>(SUM('1.  LRAMVA Summary'!H$54:H$65)+SUM('1.  LRAMVA Summary'!H$66:H$67)*(MONTH($E81)-1)/12)*$H81</f>
        <v>0</v>
      </c>
      <c r="N81" s="230">
        <f>(SUM('1.  LRAMVA Summary'!I$54:I$65)+SUM('1.  LRAMVA Summary'!I$66:I$67)*(MONTH($E81)-1)/12)*$H81</f>
        <v>0</v>
      </c>
      <c r="O81" s="230">
        <f>(SUM('1.  LRAMVA Summary'!J$54:J$65)+SUM('1.  LRAMVA Summary'!J$66:J$67)*(MONTH($E81)-1)/12)*$H81</f>
        <v>0.84194381439299837</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35.796897300736944</v>
      </c>
    </row>
    <row r="82" spans="2:23" s="9" customFormat="1" ht="14.5">
      <c r="B82" s="66"/>
      <c r="E82" s="214">
        <v>42217</v>
      </c>
      <c r="F82" s="214" t="s">
        <v>181</v>
      </c>
      <c r="G82" s="215" t="s">
        <v>68</v>
      </c>
      <c r="H82" s="229">
        <f t="shared" si="22" ref="H82:H83">C$33/12</f>
        <v>0.00091666666666666665</v>
      </c>
      <c r="I82" s="230">
        <f>(SUM('1.  LRAMVA Summary'!D$54:D$65)+SUM('1.  LRAMVA Summary'!D$66:D$67)*(MONTH($E82)-1)/12)*$H82</f>
        <v>8.198803584845562</v>
      </c>
      <c r="J82" s="230">
        <f>(SUM('1.  LRAMVA Summary'!E$54:E$65)+SUM('1.  LRAMVA Summary'!E$66:E$67)*(MONTH($E82)-1)/12)*$H82</f>
        <v>13.607655514831894</v>
      </c>
      <c r="K82" s="230">
        <f>(SUM('1.  LRAMVA Summary'!F$54:F$65)+SUM('1.  LRAMVA Summary'!F$66:F$67)*(MONTH($E82)-1)/12)*$H82</f>
        <v>11.663655084765082</v>
      </c>
      <c r="L82" s="230">
        <f>(SUM('1.  LRAMVA Summary'!G$54:G$65)+SUM('1.  LRAMVA Summary'!G$66:G$67)*(MONTH($E82)-1)/12)*$H82</f>
        <v>7.310664882958732</v>
      </c>
      <c r="M82" s="230">
        <f>(SUM('1.  LRAMVA Summary'!H$54:H$65)+SUM('1.  LRAMVA Summary'!H$66:H$67)*(MONTH($E82)-1)/12)*$H82</f>
        <v>0</v>
      </c>
      <c r="N82" s="230">
        <f>(SUM('1.  LRAMVA Summary'!I$54:I$65)+SUM('1.  LRAMVA Summary'!I$66:I$67)*(MONTH($E82)-1)/12)*$H82</f>
        <v>0</v>
      </c>
      <c r="O82" s="230">
        <f>(SUM('1.  LRAMVA Summary'!J$54:J$65)+SUM('1.  LRAMVA Summary'!J$66:J$67)*(MONTH($E82)-1)/12)*$H82</f>
        <v>0.98226778345849797</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41.763046850859766</v>
      </c>
    </row>
    <row r="83" spans="2:23" s="9" customFormat="1" ht="14.5">
      <c r="B83" s="66"/>
      <c r="E83" s="214">
        <v>42248</v>
      </c>
      <c r="F83" s="214" t="s">
        <v>181</v>
      </c>
      <c r="G83" s="215" t="s">
        <v>68</v>
      </c>
      <c r="H83" s="229">
        <f t="shared" si="22"/>
        <v>0.00091666666666666665</v>
      </c>
      <c r="I83" s="230">
        <f>(SUM('1.  LRAMVA Summary'!D$54:D$65)+SUM('1.  LRAMVA Summary'!D$66:D$67)*(MONTH($E83)-1)/12)*$H83</f>
        <v>9.3700612398234977</v>
      </c>
      <c r="J83" s="230">
        <f>(SUM('1.  LRAMVA Summary'!E$54:E$65)+SUM('1.  LRAMVA Summary'!E$66:E$67)*(MONTH($E83)-1)/12)*$H83</f>
        <v>15.551606302665023</v>
      </c>
      <c r="K83" s="230">
        <f>(SUM('1.  LRAMVA Summary'!F$54:F$65)+SUM('1.  LRAMVA Summary'!F$66:F$67)*(MONTH($E83)-1)/12)*$H83</f>
        <v>13.32989152544581</v>
      </c>
      <c r="L83" s="230">
        <f>(SUM('1.  LRAMVA Summary'!G$54:G$65)+SUM('1.  LRAMVA Summary'!G$66:G$67)*(MONTH($E83)-1)/12)*$H83</f>
        <v>8.3550455805242638</v>
      </c>
      <c r="M83" s="230">
        <f>(SUM('1.  LRAMVA Summary'!H$54:H$65)+SUM('1.  LRAMVA Summary'!H$66:H$67)*(MONTH($E83)-1)/12)*$H83</f>
        <v>0</v>
      </c>
      <c r="N83" s="230">
        <f>(SUM('1.  LRAMVA Summary'!I$54:I$65)+SUM('1.  LRAMVA Summary'!I$66:I$67)*(MONTH($E83)-1)/12)*$H83</f>
        <v>0</v>
      </c>
      <c r="O83" s="230">
        <f>(SUM('1.  LRAMVA Summary'!J$54:J$65)+SUM('1.  LRAMVA Summary'!J$66:J$67)*(MONTH($E83)-1)/12)*$H83</f>
        <v>1.1225917525239977</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47.729196400982588</v>
      </c>
    </row>
    <row r="84" spans="2:23" s="9" customFormat="1" ht="14.5">
      <c r="B84" s="66"/>
      <c r="E84" s="214">
        <v>42278</v>
      </c>
      <c r="F84" s="214" t="s">
        <v>181</v>
      </c>
      <c r="G84" s="215" t="s">
        <v>69</v>
      </c>
      <c r="H84" s="229">
        <f>C$34/12</f>
        <v>0.00091666666666666665</v>
      </c>
      <c r="I84" s="230">
        <f>(SUM('1.  LRAMVA Summary'!D$54:D$65)+SUM('1.  LRAMVA Summary'!D$66:D$67)*(MONTH($E84)-1)/12)*$H84</f>
        <v>10.541318894801439</v>
      </c>
      <c r="J84" s="230">
        <f>(SUM('1.  LRAMVA Summary'!E$54:E$65)+SUM('1.  LRAMVA Summary'!E$66:E$67)*(MONTH($E84)-1)/12)*$H84</f>
        <v>17.495557090498153</v>
      </c>
      <c r="K84" s="230">
        <f>(SUM('1.  LRAMVA Summary'!F$54:F$65)+SUM('1.  LRAMVA Summary'!F$66:F$67)*(MONTH($E84)-1)/12)*$H84</f>
        <v>14.996127966126537</v>
      </c>
      <c r="L84" s="230">
        <f>(SUM('1.  LRAMVA Summary'!G$54:G$65)+SUM('1.  LRAMVA Summary'!G$66:G$67)*(MONTH($E84)-1)/12)*$H84</f>
        <v>9.3994262780897966</v>
      </c>
      <c r="M84" s="230">
        <f>(SUM('1.  LRAMVA Summary'!H$54:H$65)+SUM('1.  LRAMVA Summary'!H$66:H$67)*(MONTH($E84)-1)/12)*$H84</f>
        <v>0</v>
      </c>
      <c r="N84" s="230">
        <f>(SUM('1.  LRAMVA Summary'!I$54:I$65)+SUM('1.  LRAMVA Summary'!I$66:I$67)*(MONTH($E84)-1)/12)*$H84</f>
        <v>0</v>
      </c>
      <c r="O84" s="230">
        <f>(SUM('1.  LRAMVA Summary'!J$54:J$65)+SUM('1.  LRAMVA Summary'!J$66:J$67)*(MONTH($E84)-1)/12)*$H84</f>
        <v>1.2629157215894975</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53.695345951105423</v>
      </c>
    </row>
    <row r="85" spans="2:23" s="9" customFormat="1" ht="14.5">
      <c r="B85" s="66"/>
      <c r="E85" s="214">
        <v>42309</v>
      </c>
      <c r="F85" s="214" t="s">
        <v>181</v>
      </c>
      <c r="G85" s="215" t="s">
        <v>69</v>
      </c>
      <c r="H85" s="229">
        <f t="shared" si="23" ref="H85:H86">C$34/12</f>
        <v>0.00091666666666666665</v>
      </c>
      <c r="I85" s="230">
        <f>(SUM('1.  LRAMVA Summary'!D$54:D$65)+SUM('1.  LRAMVA Summary'!D$66:D$67)*(MONTH($E85)-1)/12)*$H85</f>
        <v>11.712576549779374</v>
      </c>
      <c r="J85" s="230">
        <f>(SUM('1.  LRAMVA Summary'!E$54:E$65)+SUM('1.  LRAMVA Summary'!E$66:E$67)*(MONTH($E85)-1)/12)*$H85</f>
        <v>19.43950787833128</v>
      </c>
      <c r="K85" s="230">
        <f>(SUM('1.  LRAMVA Summary'!F$54:F$65)+SUM('1.  LRAMVA Summary'!F$66:F$67)*(MONTH($E85)-1)/12)*$H85</f>
        <v>16.662364406807264</v>
      </c>
      <c r="L85" s="230">
        <f>(SUM('1.  LRAMVA Summary'!G$54:G$65)+SUM('1.  LRAMVA Summary'!G$66:G$67)*(MONTH($E85)-1)/12)*$H85</f>
        <v>10.443806975655331</v>
      </c>
      <c r="M85" s="230">
        <f>(SUM('1.  LRAMVA Summary'!H$54:H$65)+SUM('1.  LRAMVA Summary'!H$66:H$67)*(MONTH($E85)-1)/12)*$H85</f>
        <v>0</v>
      </c>
      <c r="N85" s="230">
        <f>(SUM('1.  LRAMVA Summary'!I$54:I$65)+SUM('1.  LRAMVA Summary'!I$66:I$67)*(MONTH($E85)-1)/12)*$H85</f>
        <v>0</v>
      </c>
      <c r="O85" s="230">
        <f>(SUM('1.  LRAMVA Summary'!J$54:J$65)+SUM('1.  LRAMVA Summary'!J$66:J$67)*(MONTH($E85)-1)/12)*$H85</f>
        <v>1.4032396906549973</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59.661495501228245</v>
      </c>
    </row>
    <row r="86" spans="2:23" s="9" customFormat="1" ht="14.5">
      <c r="B86" s="66"/>
      <c r="E86" s="214">
        <v>42339</v>
      </c>
      <c r="F86" s="214" t="s">
        <v>181</v>
      </c>
      <c r="G86" s="215" t="s">
        <v>69</v>
      </c>
      <c r="H86" s="229">
        <f t="shared" si="23"/>
        <v>0.00091666666666666665</v>
      </c>
      <c r="I86" s="230">
        <f>(SUM('1.  LRAMVA Summary'!D$54:D$65)+SUM('1.  LRAMVA Summary'!D$66:D$67)*(MONTH($E86)-1)/12)*$H86</f>
        <v>12.88383420475731</v>
      </c>
      <c r="J86" s="230">
        <f>(SUM('1.  LRAMVA Summary'!E$54:E$65)+SUM('1.  LRAMVA Summary'!E$66:E$67)*(MONTH($E86)-1)/12)*$H86</f>
        <v>21.383458666164405</v>
      </c>
      <c r="K86" s="230">
        <f>(SUM('1.  LRAMVA Summary'!F$54:F$65)+SUM('1.  LRAMVA Summary'!F$66:F$67)*(MONTH($E86)-1)/12)*$H86</f>
        <v>18.328600847487987</v>
      </c>
      <c r="L86" s="230">
        <f>(SUM('1.  LRAMVA Summary'!G$54:G$65)+SUM('1.  LRAMVA Summary'!G$66:G$67)*(MONTH($E86)-1)/12)*$H86</f>
        <v>11.488187673220862</v>
      </c>
      <c r="M86" s="230">
        <f>(SUM('1.  LRAMVA Summary'!H$54:H$65)+SUM('1.  LRAMVA Summary'!H$66:H$67)*(MONTH($E86)-1)/12)*$H86</f>
        <v>0</v>
      </c>
      <c r="N86" s="230">
        <f>(SUM('1.  LRAMVA Summary'!I$54:I$65)+SUM('1.  LRAMVA Summary'!I$66:I$67)*(MONTH($E86)-1)/12)*$H86</f>
        <v>0</v>
      </c>
      <c r="O86" s="230">
        <f>(SUM('1.  LRAMVA Summary'!J$54:J$65)+SUM('1.  LRAMVA Summary'!J$66:J$67)*(MONTH($E86)-1)/12)*$H86</f>
        <v>1.5435636597204969</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65.627645051351053</v>
      </c>
    </row>
    <row r="87" spans="2:23" s="9" customFormat="1" ht="15" thickBot="1">
      <c r="B87" s="66"/>
      <c r="E87" s="216" t="s">
        <v>464</v>
      </c>
      <c r="F87" s="216"/>
      <c r="G87" s="217"/>
      <c r="H87" s="218"/>
      <c r="I87" s="219">
        <f>SUM(I74:I86)</f>
        <v>78.484910680385241</v>
      </c>
      <c r="J87" s="219">
        <f>SUM(J74:J86)</f>
        <v>130.26237506470898</v>
      </c>
      <c r="K87" s="219">
        <f t="shared" si="24" ref="K87:O87">SUM(K74:K86)</f>
        <v>111.65298912961484</v>
      </c>
      <c r="L87" s="219">
        <f t="shared" si="24"/>
        <v>69.983001106868585</v>
      </c>
      <c r="M87" s="219">
        <f t="shared" si="24"/>
        <v>0</v>
      </c>
      <c r="N87" s="219">
        <f t="shared" si="24"/>
        <v>0</v>
      </c>
      <c r="O87" s="219">
        <f t="shared" si="24"/>
        <v>9.4029815998345327</v>
      </c>
      <c r="P87" s="219">
        <f t="shared" si="25" ref="P87:V87">SUM(P74:P86)</f>
        <v>0</v>
      </c>
      <c r="Q87" s="219">
        <f t="shared" si="25"/>
        <v>0</v>
      </c>
      <c r="R87" s="219">
        <f t="shared" si="25"/>
        <v>0</v>
      </c>
      <c r="S87" s="219">
        <f t="shared" si="25"/>
        <v>0</v>
      </c>
      <c r="T87" s="219">
        <f t="shared" si="25"/>
        <v>0</v>
      </c>
      <c r="U87" s="219">
        <f t="shared" si="25"/>
        <v>0</v>
      </c>
      <c r="V87" s="219">
        <f t="shared" si="25"/>
        <v>0</v>
      </c>
      <c r="W87" s="219">
        <f>SUM(W74:W86)</f>
        <v>399.78625758141214</v>
      </c>
    </row>
    <row r="88" spans="5: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ht="14.5">
      <c r="B89" s="66"/>
      <c r="E89" s="225" t="s">
        <v>428</v>
      </c>
      <c r="F89" s="225"/>
      <c r="G89" s="226"/>
      <c r="H89" s="227"/>
      <c r="I89" s="228">
        <f>I87+I88</f>
        <v>78.484910680385241</v>
      </c>
      <c r="J89" s="228">
        <f t="shared" si="26" ref="J89">J87+J88</f>
        <v>130.26237506470898</v>
      </c>
      <c r="K89" s="228">
        <f t="shared" si="27" ref="K89">K87+K88</f>
        <v>111.65298912961484</v>
      </c>
      <c r="L89" s="228">
        <f t="shared" si="28" ref="L89">L87+L88</f>
        <v>69.983001106868585</v>
      </c>
      <c r="M89" s="228">
        <f t="shared" si="29" ref="M89">M87+M88</f>
        <v>0</v>
      </c>
      <c r="N89" s="228">
        <f t="shared" si="30" ref="N89">N87+N88</f>
        <v>0</v>
      </c>
      <c r="O89" s="228">
        <f t="shared" si="31" ref="O89:U89">O87+O88</f>
        <v>9.4029815998345327</v>
      </c>
      <c r="P89" s="228">
        <f t="shared" si="31"/>
        <v>0</v>
      </c>
      <c r="Q89" s="228">
        <f t="shared" si="31"/>
        <v>0</v>
      </c>
      <c r="R89" s="228">
        <f t="shared" si="31"/>
        <v>0</v>
      </c>
      <c r="S89" s="228">
        <f t="shared" si="31"/>
        <v>0</v>
      </c>
      <c r="T89" s="228">
        <f t="shared" si="31"/>
        <v>0</v>
      </c>
      <c r="U89" s="228">
        <f t="shared" si="31"/>
        <v>0</v>
      </c>
      <c r="V89" s="228">
        <f t="shared" si="32" ref="V89">V87+V88</f>
        <v>0</v>
      </c>
      <c r="W89" s="228">
        <f t="shared" si="33" ref="W89">W87+W88</f>
        <v>399.78625758141214</v>
      </c>
    </row>
    <row r="90" spans="2:23" s="9" customFormat="1" ht="14.5">
      <c r="B90" s="66"/>
      <c r="E90" s="214">
        <v>42370</v>
      </c>
      <c r="F90" s="214" t="s">
        <v>183</v>
      </c>
      <c r="G90" s="215" t="s">
        <v>65</v>
      </c>
      <c r="H90" s="229">
        <f>$C$35/12</f>
        <v>0.00091666666666666665</v>
      </c>
      <c r="I90" s="230">
        <f>(SUM('1.  LRAMVA Summary'!D$54:D$68)+SUM('1.  LRAMVA Summary'!D$69:D$70)*(MONTH($E90)-1)/12)*$H90</f>
        <v>14.055091859735249</v>
      </c>
      <c r="J90" s="230">
        <f>(SUM('1.  LRAMVA Summary'!E$54:E$68)+SUM('1.  LRAMVA Summary'!E$69:E$70)*(MONTH($E90)-1)/12)*$H90</f>
        <v>23.327409453997536</v>
      </c>
      <c r="K90" s="230">
        <f>(SUM('1.  LRAMVA Summary'!F$54:F$68)+SUM('1.  LRAMVA Summary'!F$69:F$70)*(MONTH($E90)-1)/12)*$H90</f>
        <v>19.994837288168714</v>
      </c>
      <c r="L90" s="230">
        <f>(SUM('1.  LRAMVA Summary'!G$54:G$68)+SUM('1.  LRAMVA Summary'!G$69:G$70)*(MONTH($E90)-1)/12)*$H90</f>
        <v>12.532568370786397</v>
      </c>
      <c r="M90" s="230">
        <f>(SUM('1.  LRAMVA Summary'!H$54:H$68)+SUM('1.  LRAMVA Summary'!H$69:H$70)*(MONTH($E90)-1)/12)*$H90</f>
        <v>0</v>
      </c>
      <c r="N90" s="230">
        <f>(SUM('1.  LRAMVA Summary'!I$54:I$68)+SUM('1.  LRAMVA Summary'!I$69:I$70)*(MONTH($E90)-1)/12)*$H90</f>
        <v>0</v>
      </c>
      <c r="O90" s="230">
        <f>(SUM('1.  LRAMVA Summary'!J$54:J$68)+SUM('1.  LRAMVA Summary'!J$69:J$70)*(MONTH($E90)-1)/12)*$H90</f>
        <v>1.6838876287859967</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71.593794601473888</v>
      </c>
    </row>
    <row r="91" spans="2:23" s="9" customFormat="1" ht="14.5">
      <c r="B91" s="66"/>
      <c r="E91" s="214">
        <v>42401</v>
      </c>
      <c r="F91" s="214" t="s">
        <v>183</v>
      </c>
      <c r="G91" s="215" t="s">
        <v>65</v>
      </c>
      <c r="H91" s="229">
        <f t="shared" si="34" ref="H91:H92">$C$35/12</f>
        <v>0.00091666666666666665</v>
      </c>
      <c r="I91" s="230">
        <f>(SUM('1.  LRAMVA Summary'!D$54:D$68)+SUM('1.  LRAMVA Summary'!D$69:D$70)*(MONTH($E91)-1)/12)*$H91</f>
        <v>16.606589190290805</v>
      </c>
      <c r="J91" s="230">
        <f>(SUM('1.  LRAMVA Summary'!E$54:E$68)+SUM('1.  LRAMVA Summary'!E$69:E$70)*(MONTH($E91)-1)/12)*$H91</f>
        <v>24.667725157037928</v>
      </c>
      <c r="K91" s="230">
        <f>(SUM('1.  LRAMVA Summary'!F$54:F$68)+SUM('1.  LRAMVA Summary'!F$69:F$70)*(MONTH($E91)-1)/12)*$H91</f>
        <v>19.721160059148481</v>
      </c>
      <c r="L91" s="230">
        <f>(SUM('1.  LRAMVA Summary'!G$54:G$68)+SUM('1.  LRAMVA Summary'!G$69:G$70)*(MONTH($E91)-1)/12)*$H91</f>
        <v>12.523537567882844</v>
      </c>
      <c r="M91" s="230">
        <f>(SUM('1.  LRAMVA Summary'!H$54:H$68)+SUM('1.  LRAMVA Summary'!H$69:H$70)*(MONTH($E91)-1)/12)*$H91</f>
        <v>0</v>
      </c>
      <c r="N91" s="230">
        <f>(SUM('1.  LRAMVA Summary'!I$54:I$68)+SUM('1.  LRAMVA Summary'!I$69:I$70)*(MONTH($E91)-1)/12)*$H91</f>
        <v>0</v>
      </c>
      <c r="O91" s="230">
        <f>(SUM('1.  LRAMVA Summary'!J$54:J$68)+SUM('1.  LRAMVA Summary'!J$69:J$70)*(MONTH($E91)-1)/12)*$H91</f>
        <v>0.55584896629459657</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si="35" ref="W91:W101">SUM(I91:V91)</f>
        <v>74.074860940654645</v>
      </c>
    </row>
    <row r="92" spans="2:23" s="9" customFormat="1" ht="14.25" customHeight="1">
      <c r="B92" s="66"/>
      <c r="E92" s="214">
        <v>42430</v>
      </c>
      <c r="F92" s="214" t="s">
        <v>183</v>
      </c>
      <c r="G92" s="215" t="s">
        <v>65</v>
      </c>
      <c r="H92" s="229">
        <f t="shared" si="34"/>
        <v>0.00091666666666666665</v>
      </c>
      <c r="I92" s="230">
        <f>(SUM('1.  LRAMVA Summary'!D$54:D$68)+SUM('1.  LRAMVA Summary'!D$69:D$70)*(MONTH($E92)-1)/12)*$H92</f>
        <v>19.158086520846357</v>
      </c>
      <c r="J92" s="230">
        <f>(SUM('1.  LRAMVA Summary'!E$54:E$68)+SUM('1.  LRAMVA Summary'!E$69:E$70)*(MONTH($E92)-1)/12)*$H92</f>
        <v>26.008040860078317</v>
      </c>
      <c r="K92" s="230">
        <f>(SUM('1.  LRAMVA Summary'!F$54:F$68)+SUM('1.  LRAMVA Summary'!F$69:F$70)*(MONTH($E92)-1)/12)*$H92</f>
        <v>19.447482830128244</v>
      </c>
      <c r="L92" s="230">
        <f>(SUM('1.  LRAMVA Summary'!G$54:G$68)+SUM('1.  LRAMVA Summary'!G$69:G$70)*(MONTH($E92)-1)/12)*$H92</f>
        <v>12.514506764979291</v>
      </c>
      <c r="M92" s="230">
        <f>(SUM('1.  LRAMVA Summary'!H$54:H$68)+SUM('1.  LRAMVA Summary'!H$69:H$70)*(MONTH($E92)-1)/12)*$H92</f>
        <v>0</v>
      </c>
      <c r="N92" s="230">
        <f>(SUM('1.  LRAMVA Summary'!I$54:I$68)+SUM('1.  LRAMVA Summary'!I$69:I$70)*(MONTH($E92)-1)/12)*$H92</f>
        <v>0</v>
      </c>
      <c r="O92" s="230">
        <f>(SUM('1.  LRAMVA Summary'!J$54:J$68)+SUM('1.  LRAMVA Summary'!J$69:J$70)*(MONTH($E92)-1)/12)*$H92</f>
        <v>-0.57218969619680349</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76.555927279835416</v>
      </c>
    </row>
    <row r="93" spans="2:23" s="8" customFormat="1" ht="14.5">
      <c r="B93" s="239"/>
      <c r="D93" s="9"/>
      <c r="E93" s="214">
        <v>42461</v>
      </c>
      <c r="F93" s="214" t="s">
        <v>183</v>
      </c>
      <c r="G93" s="215" t="s">
        <v>66</v>
      </c>
      <c r="H93" s="229">
        <f>$C$36/12</f>
        <v>0.00091666666666666665</v>
      </c>
      <c r="I93" s="230">
        <f>(SUM('1.  LRAMVA Summary'!D$54:D$68)+SUM('1.  LRAMVA Summary'!D$69:D$70)*(MONTH($E93)-1)/12)*$H93</f>
        <v>21.709583851401913</v>
      </c>
      <c r="J93" s="230">
        <f>(SUM('1.  LRAMVA Summary'!E$54:E$68)+SUM('1.  LRAMVA Summary'!E$69:E$70)*(MONTH($E93)-1)/12)*$H93</f>
        <v>27.348356563118713</v>
      </c>
      <c r="K93" s="230">
        <f>(SUM('1.  LRAMVA Summary'!F$54:F$68)+SUM('1.  LRAMVA Summary'!F$69:F$70)*(MONTH($E93)-1)/12)*$H93</f>
        <v>19.173805601108011</v>
      </c>
      <c r="L93" s="230">
        <f>(SUM('1.  LRAMVA Summary'!G$54:G$68)+SUM('1.  LRAMVA Summary'!G$69:G$70)*(MONTH($E93)-1)/12)*$H93</f>
        <v>12.505475962075739</v>
      </c>
      <c r="M93" s="230">
        <f>(SUM('1.  LRAMVA Summary'!H$54:H$68)+SUM('1.  LRAMVA Summary'!H$69:H$70)*(MONTH($E93)-1)/12)*$H93</f>
        <v>0</v>
      </c>
      <c r="N93" s="230">
        <f>(SUM('1.  LRAMVA Summary'!I$54:I$68)+SUM('1.  LRAMVA Summary'!I$69:I$70)*(MONTH($E93)-1)/12)*$H93</f>
        <v>0</v>
      </c>
      <c r="O93" s="230">
        <f>(SUM('1.  LRAMVA Summary'!J$54:J$68)+SUM('1.  LRAMVA Summary'!J$69:J$70)*(MONTH($E93)-1)/12)*$H93</f>
        <v>-1.7002283586882032</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79.036993619016172</v>
      </c>
    </row>
    <row r="94" spans="2:23" s="9" customFormat="1" ht="14.5">
      <c r="B94" s="66"/>
      <c r="E94" s="214">
        <v>42491</v>
      </c>
      <c r="F94" s="214" t="s">
        <v>183</v>
      </c>
      <c r="G94" s="215" t="s">
        <v>66</v>
      </c>
      <c r="H94" s="229">
        <f t="shared" si="36" ref="H94:H95">$C$36/12</f>
        <v>0.00091666666666666665</v>
      </c>
      <c r="I94" s="230">
        <f>(SUM('1.  LRAMVA Summary'!D$54:D$68)+SUM('1.  LRAMVA Summary'!D$69:D$70)*(MONTH($E94)-1)/12)*$H94</f>
        <v>24.261081181957465</v>
      </c>
      <c r="J94" s="230">
        <f>(SUM('1.  LRAMVA Summary'!E$54:E$68)+SUM('1.  LRAMVA Summary'!E$69:E$70)*(MONTH($E94)-1)/12)*$H94</f>
        <v>28.688672266159106</v>
      </c>
      <c r="K94" s="230">
        <f>(SUM('1.  LRAMVA Summary'!F$54:F$68)+SUM('1.  LRAMVA Summary'!F$69:F$70)*(MONTH($E94)-1)/12)*$H94</f>
        <v>18.900128372087778</v>
      </c>
      <c r="L94" s="230">
        <f>(SUM('1.  LRAMVA Summary'!G$54:G$68)+SUM('1.  LRAMVA Summary'!G$69:G$70)*(MONTH($E94)-1)/12)*$H94</f>
        <v>12.496445159172186</v>
      </c>
      <c r="M94" s="230">
        <f>(SUM('1.  LRAMVA Summary'!H$54:H$68)+SUM('1.  LRAMVA Summary'!H$69:H$70)*(MONTH($E94)-1)/12)*$H94</f>
        <v>0</v>
      </c>
      <c r="N94" s="230">
        <f>(SUM('1.  LRAMVA Summary'!I$54:I$68)+SUM('1.  LRAMVA Summary'!I$69:I$70)*(MONTH($E94)-1)/12)*$H94</f>
        <v>0</v>
      </c>
      <c r="O94" s="230">
        <f>(SUM('1.  LRAMVA Summary'!J$54:J$68)+SUM('1.  LRAMVA Summary'!J$69:J$70)*(MONTH($E94)-1)/12)*$H94</f>
        <v>-2.8282670211796037</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81.518059958196929</v>
      </c>
    </row>
    <row r="95" spans="2:23" s="238" customFormat="1" ht="14.5">
      <c r="B95" s="237"/>
      <c r="D95" s="9"/>
      <c r="E95" s="214">
        <v>42522</v>
      </c>
      <c r="F95" s="214" t="s">
        <v>183</v>
      </c>
      <c r="G95" s="215" t="s">
        <v>66</v>
      </c>
      <c r="H95" s="229">
        <f t="shared" si="36"/>
        <v>0.00091666666666666665</v>
      </c>
      <c r="I95" s="230">
        <f>(SUM('1.  LRAMVA Summary'!D$54:D$68)+SUM('1.  LRAMVA Summary'!D$69:D$70)*(MONTH($E95)-1)/12)*$H95</f>
        <v>26.812578512513028</v>
      </c>
      <c r="J95" s="230">
        <f>(SUM('1.  LRAMVA Summary'!E$54:E$68)+SUM('1.  LRAMVA Summary'!E$69:E$70)*(MONTH($E95)-1)/12)*$H95</f>
        <v>30.028987969199498</v>
      </c>
      <c r="K95" s="230">
        <f>(SUM('1.  LRAMVA Summary'!F$54:F$68)+SUM('1.  LRAMVA Summary'!F$69:F$70)*(MONTH($E95)-1)/12)*$H95</f>
        <v>18.626451143067545</v>
      </c>
      <c r="L95" s="230">
        <f>(SUM('1.  LRAMVA Summary'!G$54:G$68)+SUM('1.  LRAMVA Summary'!G$69:G$70)*(MONTH($E95)-1)/12)*$H95</f>
        <v>12.487414356268635</v>
      </c>
      <c r="M95" s="230">
        <f>(SUM('1.  LRAMVA Summary'!H$54:H$68)+SUM('1.  LRAMVA Summary'!H$69:H$70)*(MONTH($E95)-1)/12)*$H95</f>
        <v>0</v>
      </c>
      <c r="N95" s="230">
        <f>(SUM('1.  LRAMVA Summary'!I$54:I$68)+SUM('1.  LRAMVA Summary'!I$69:I$70)*(MONTH($E95)-1)/12)*$H95</f>
        <v>0</v>
      </c>
      <c r="O95" s="230">
        <f>(SUM('1.  LRAMVA Summary'!J$54:J$68)+SUM('1.  LRAMVA Summary'!J$69:J$70)*(MONTH($E95)-1)/12)*$H95</f>
        <v>-3.9563056836710029</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83.9991262973777</v>
      </c>
    </row>
    <row r="96" spans="2:23" s="9" customFormat="1" ht="14.5">
      <c r="B96" s="66"/>
      <c r="E96" s="214">
        <v>42552</v>
      </c>
      <c r="F96" s="214" t="s">
        <v>183</v>
      </c>
      <c r="G96" s="215" t="s">
        <v>68</v>
      </c>
      <c r="H96" s="229">
        <f>$C$37/12</f>
        <v>0.00091666666666666665</v>
      </c>
      <c r="I96" s="230">
        <f>(SUM('1.  LRAMVA Summary'!D$54:D$68)+SUM('1.  LRAMVA Summary'!D$69:D$70)*(MONTH($E96)-1)/12)*$H96</f>
        <v>29.36407584306858</v>
      </c>
      <c r="J96" s="230">
        <f>(SUM('1.  LRAMVA Summary'!E$54:E$68)+SUM('1.  LRAMVA Summary'!E$69:E$70)*(MONTH($E96)-1)/12)*$H96</f>
        <v>31.369303672239891</v>
      </c>
      <c r="K96" s="230">
        <f>(SUM('1.  LRAMVA Summary'!F$54:F$68)+SUM('1.  LRAMVA Summary'!F$69:F$70)*(MONTH($E96)-1)/12)*$H96</f>
        <v>18.352773914047308</v>
      </c>
      <c r="L96" s="230">
        <f>(SUM('1.  LRAMVA Summary'!G$54:G$68)+SUM('1.  LRAMVA Summary'!G$69:G$70)*(MONTH($E96)-1)/12)*$H96</f>
        <v>12.478383553365083</v>
      </c>
      <c r="M96" s="230">
        <f>(SUM('1.  LRAMVA Summary'!H$54:H$68)+SUM('1.  LRAMVA Summary'!H$69:H$70)*(MONTH($E96)-1)/12)*$H96</f>
        <v>0</v>
      </c>
      <c r="N96" s="230">
        <f>(SUM('1.  LRAMVA Summary'!I$54:I$68)+SUM('1.  LRAMVA Summary'!I$69:I$70)*(MONTH($E96)-1)/12)*$H96</f>
        <v>0</v>
      </c>
      <c r="O96" s="230">
        <f>(SUM('1.  LRAMVA Summary'!J$54:J$68)+SUM('1.  LRAMVA Summary'!J$69:J$70)*(MONTH($E96)-1)/12)*$H96</f>
        <v>-5.0843443461624034</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86.480192636558456</v>
      </c>
    </row>
    <row r="97" spans="2:23" s="9" customFormat="1" ht="14.5">
      <c r="B97" s="66"/>
      <c r="E97" s="214">
        <v>42583</v>
      </c>
      <c r="F97" s="214" t="s">
        <v>183</v>
      </c>
      <c r="G97" s="215" t="s">
        <v>68</v>
      </c>
      <c r="H97" s="229">
        <f t="shared" si="37" ref="H97:H98">$C$37/12</f>
        <v>0.00091666666666666665</v>
      </c>
      <c r="I97" s="230">
        <f>(SUM('1.  LRAMVA Summary'!D$54:D$68)+SUM('1.  LRAMVA Summary'!D$69:D$70)*(MONTH($E97)-1)/12)*$H97</f>
        <v>31.915573173624132</v>
      </c>
      <c r="J97" s="230">
        <f>(SUM('1.  LRAMVA Summary'!E$54:E$68)+SUM('1.  LRAMVA Summary'!E$69:E$70)*(MONTH($E97)-1)/12)*$H97</f>
        <v>32.709619375280283</v>
      </c>
      <c r="K97" s="230">
        <f>(SUM('1.  LRAMVA Summary'!F$54:F$68)+SUM('1.  LRAMVA Summary'!F$69:F$70)*(MONTH($E97)-1)/12)*$H97</f>
        <v>18.079096685027071</v>
      </c>
      <c r="L97" s="230">
        <f>(SUM('1.  LRAMVA Summary'!G$54:G$68)+SUM('1.  LRAMVA Summary'!G$69:G$70)*(MONTH($E97)-1)/12)*$H97</f>
        <v>12.469352750461528</v>
      </c>
      <c r="M97" s="230">
        <f>(SUM('1.  LRAMVA Summary'!H$54:H$68)+SUM('1.  LRAMVA Summary'!H$69:H$70)*(MONTH($E97)-1)/12)*$H97</f>
        <v>0</v>
      </c>
      <c r="N97" s="230">
        <f>(SUM('1.  LRAMVA Summary'!I$54:I$68)+SUM('1.  LRAMVA Summary'!I$69:I$70)*(MONTH($E97)-1)/12)*$H97</f>
        <v>0</v>
      </c>
      <c r="O97" s="230">
        <f>(SUM('1.  LRAMVA Summary'!J$54:J$68)+SUM('1.  LRAMVA Summary'!J$69:J$70)*(MONTH($E97)-1)/12)*$H97</f>
        <v>-6.212383008653803</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88.961258975739199</v>
      </c>
    </row>
    <row r="98" spans="2:23" s="9" customFormat="1" ht="14.5">
      <c r="B98" s="66"/>
      <c r="E98" s="214">
        <v>42614</v>
      </c>
      <c r="F98" s="214" t="s">
        <v>183</v>
      </c>
      <c r="G98" s="215" t="s">
        <v>68</v>
      </c>
      <c r="H98" s="229">
        <f t="shared" si="37"/>
        <v>0.00091666666666666665</v>
      </c>
      <c r="I98" s="230">
        <f>(SUM('1.  LRAMVA Summary'!D$54:D$68)+SUM('1.  LRAMVA Summary'!D$69:D$70)*(MONTH($E98)-1)/12)*$H98</f>
        <v>34.467070504179688</v>
      </c>
      <c r="J98" s="230">
        <f>(SUM('1.  LRAMVA Summary'!E$54:E$68)+SUM('1.  LRAMVA Summary'!E$69:E$70)*(MONTH($E98)-1)/12)*$H98</f>
        <v>34.049935078320679</v>
      </c>
      <c r="K98" s="230">
        <f>(SUM('1.  LRAMVA Summary'!F$54:F$68)+SUM('1.  LRAMVA Summary'!F$69:F$70)*(MONTH($E98)-1)/12)*$H98</f>
        <v>17.805419456006838</v>
      </c>
      <c r="L98" s="230">
        <f>(SUM('1.  LRAMVA Summary'!G$54:G$68)+SUM('1.  LRAMVA Summary'!G$69:G$70)*(MONTH($E98)-1)/12)*$H98</f>
        <v>12.460321947557977</v>
      </c>
      <c r="M98" s="230">
        <f>(SUM('1.  LRAMVA Summary'!H$54:H$68)+SUM('1.  LRAMVA Summary'!H$69:H$70)*(MONTH($E98)-1)/12)*$H98</f>
        <v>0</v>
      </c>
      <c r="N98" s="230">
        <f>(SUM('1.  LRAMVA Summary'!I$54:I$68)+SUM('1.  LRAMVA Summary'!I$69:I$70)*(MONTH($E98)-1)/12)*$H98</f>
        <v>0</v>
      </c>
      <c r="O98" s="230">
        <f>(SUM('1.  LRAMVA Summary'!J$54:J$68)+SUM('1.  LRAMVA Summary'!J$69:J$70)*(MONTH($E98)-1)/12)*$H98</f>
        <v>-7.3404216711452035</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91.442325314919955</v>
      </c>
    </row>
    <row r="99" spans="2:23" s="9" customFormat="1" ht="14.5">
      <c r="B99" s="66"/>
      <c r="E99" s="214">
        <v>42644</v>
      </c>
      <c r="F99" s="214" t="s">
        <v>183</v>
      </c>
      <c r="G99" s="215" t="s">
        <v>69</v>
      </c>
      <c r="H99" s="210">
        <f>$C$38/12</f>
        <v>0.00091666666666666665</v>
      </c>
      <c r="I99" s="230">
        <f>(SUM('1.  LRAMVA Summary'!D$54:D$68)+SUM('1.  LRAMVA Summary'!D$69:D$70)*(MONTH($E99)-1)/12)*$H99</f>
        <v>37.018567834735251</v>
      </c>
      <c r="J99" s="230">
        <f>(SUM('1.  LRAMVA Summary'!E$54:E$68)+SUM('1.  LRAMVA Summary'!E$69:E$70)*(MONTH($E99)-1)/12)*$H99</f>
        <v>35.390250781361068</v>
      </c>
      <c r="K99" s="230">
        <f>(SUM('1.  LRAMVA Summary'!F$54:F$68)+SUM('1.  LRAMVA Summary'!F$69:F$70)*(MONTH($E99)-1)/12)*$H99</f>
        <v>17.531742226986605</v>
      </c>
      <c r="L99" s="230">
        <f>(SUM('1.  LRAMVA Summary'!G$54:G$68)+SUM('1.  LRAMVA Summary'!G$69:G$70)*(MONTH($E99)-1)/12)*$H99</f>
        <v>12.451291144654425</v>
      </c>
      <c r="M99" s="230">
        <f>(SUM('1.  LRAMVA Summary'!H$54:H$68)+SUM('1.  LRAMVA Summary'!H$69:H$70)*(MONTH($E99)-1)/12)*$H99</f>
        <v>0</v>
      </c>
      <c r="N99" s="230">
        <f>(SUM('1.  LRAMVA Summary'!I$54:I$68)+SUM('1.  LRAMVA Summary'!I$69:I$70)*(MONTH($E99)-1)/12)*$H99</f>
        <v>0</v>
      </c>
      <c r="O99" s="230">
        <f>(SUM('1.  LRAMVA Summary'!J$54:J$68)+SUM('1.  LRAMVA Summary'!J$69:J$70)*(MONTH($E99)-1)/12)*$H99</f>
        <v>-8.4684603336366031</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93.92339165410074</v>
      </c>
    </row>
    <row r="100" spans="2:23" s="9" customFormat="1" ht="14.5">
      <c r="B100" s="66"/>
      <c r="E100" s="214">
        <v>42675</v>
      </c>
      <c r="F100" s="214" t="s">
        <v>183</v>
      </c>
      <c r="G100" s="215" t="s">
        <v>69</v>
      </c>
      <c r="H100" s="210">
        <f t="shared" si="38" ref="H100:H101">$C$38/12</f>
        <v>0.00091666666666666665</v>
      </c>
      <c r="I100" s="230">
        <f>(SUM('1.  LRAMVA Summary'!D$54:D$68)+SUM('1.  LRAMVA Summary'!D$69:D$70)*(MONTH($E100)-1)/12)*$H100</f>
        <v>39.570065165290806</v>
      </c>
      <c r="J100" s="230">
        <f>(SUM('1.  LRAMVA Summary'!E$54:E$68)+SUM('1.  LRAMVA Summary'!E$69:E$70)*(MONTH($E100)-1)/12)*$H100</f>
        <v>36.730566484401457</v>
      </c>
      <c r="K100" s="230">
        <f>(SUM('1.  LRAMVA Summary'!F$54:F$68)+SUM('1.  LRAMVA Summary'!F$69:F$70)*(MONTH($E100)-1)/12)*$H100</f>
        <v>17.258064997966368</v>
      </c>
      <c r="L100" s="230">
        <f>(SUM('1.  LRAMVA Summary'!G$54:G$68)+SUM('1.  LRAMVA Summary'!G$69:G$70)*(MONTH($E100)-1)/12)*$H100</f>
        <v>12.442260341750872</v>
      </c>
      <c r="M100" s="230">
        <f>(SUM('1.  LRAMVA Summary'!H$54:H$68)+SUM('1.  LRAMVA Summary'!H$69:H$70)*(MONTH($E100)-1)/12)*$H100</f>
        <v>0</v>
      </c>
      <c r="N100" s="230">
        <f>(SUM('1.  LRAMVA Summary'!I$54:I$68)+SUM('1.  LRAMVA Summary'!I$69:I$70)*(MONTH($E100)-1)/12)*$H100</f>
        <v>0</v>
      </c>
      <c r="O100" s="230">
        <f>(SUM('1.  LRAMVA Summary'!J$54:J$68)+SUM('1.  LRAMVA Summary'!J$69:J$70)*(MONTH($E100)-1)/12)*$H100</f>
        <v>-9.5964989961280036</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96.404457993281497</v>
      </c>
    </row>
    <row r="101" spans="2:23" s="9" customFormat="1" ht="14.5">
      <c r="B101" s="66"/>
      <c r="E101" s="214">
        <v>42705</v>
      </c>
      <c r="F101" s="214" t="s">
        <v>183</v>
      </c>
      <c r="G101" s="215" t="s">
        <v>69</v>
      </c>
      <c r="H101" s="210">
        <f t="shared" si="38"/>
        <v>0.00091666666666666665</v>
      </c>
      <c r="I101" s="230">
        <f>(SUM('1.  LRAMVA Summary'!D$54:D$68)+SUM('1.  LRAMVA Summary'!D$69:D$70)*(MONTH($E101)-1)/12)*$H101</f>
        <v>42.121562495846355</v>
      </c>
      <c r="J101" s="230">
        <f>(SUM('1.  LRAMVA Summary'!E$54:E$68)+SUM('1.  LRAMVA Summary'!E$69:E$70)*(MONTH($E101)-1)/12)*$H101</f>
        <v>38.070882187441853</v>
      </c>
      <c r="K101" s="230">
        <f>(SUM('1.  LRAMVA Summary'!F$54:F$68)+SUM('1.  LRAMVA Summary'!F$69:F$70)*(MONTH($E101)-1)/12)*$H101</f>
        <v>16.984387768946135</v>
      </c>
      <c r="L101" s="230">
        <f>(SUM('1.  LRAMVA Summary'!G$54:G$68)+SUM('1.  LRAMVA Summary'!G$69:G$70)*(MONTH($E101)-1)/12)*$H101</f>
        <v>12.43322953884732</v>
      </c>
      <c r="M101" s="230">
        <f>(SUM('1.  LRAMVA Summary'!H$54:H$68)+SUM('1.  LRAMVA Summary'!H$69:H$70)*(MONTH($E101)-1)/12)*$H101</f>
        <v>0</v>
      </c>
      <c r="N101" s="230">
        <f>(SUM('1.  LRAMVA Summary'!I$54:I$68)+SUM('1.  LRAMVA Summary'!I$69:I$70)*(MONTH($E101)-1)/12)*$H101</f>
        <v>0</v>
      </c>
      <c r="O101" s="230">
        <f>(SUM('1.  LRAMVA Summary'!J$54:J$68)+SUM('1.  LRAMVA Summary'!J$69:J$70)*(MONTH($E101)-1)/12)*$H101</f>
        <v>-10.724537658619404</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98.885524332462268</v>
      </c>
    </row>
    <row r="102" spans="2:23" s="9" customFormat="1" ht="15" thickBot="1">
      <c r="B102" s="66"/>
      <c r="E102" s="216" t="s">
        <v>465</v>
      </c>
      <c r="F102" s="216"/>
      <c r="G102" s="217"/>
      <c r="H102" s="218"/>
      <c r="I102" s="219">
        <f>SUM(I89:I101)</f>
        <v>415.54483681387489</v>
      </c>
      <c r="J102" s="219">
        <f>SUM(J89:J101)</f>
        <v>498.65212491334529</v>
      </c>
      <c r="K102" s="219">
        <f t="shared" si="39" ref="K102:O102">SUM(K89:K101)</f>
        <v>333.52833947230391</v>
      </c>
      <c r="L102" s="219">
        <f t="shared" si="39"/>
        <v>219.77778856467089</v>
      </c>
      <c r="M102" s="219">
        <f t="shared" si="39"/>
        <v>0</v>
      </c>
      <c r="N102" s="219">
        <f t="shared" si="39"/>
        <v>0</v>
      </c>
      <c r="O102" s="219">
        <f t="shared" si="39"/>
        <v>-44.840918579165908</v>
      </c>
      <c r="P102" s="219">
        <f t="shared" si="40" ref="P102:V102">SUM(P89:P101)</f>
        <v>0</v>
      </c>
      <c r="Q102" s="219">
        <f t="shared" si="40"/>
        <v>0</v>
      </c>
      <c r="R102" s="219">
        <f t="shared" si="40"/>
        <v>0</v>
      </c>
      <c r="S102" s="219">
        <f t="shared" si="40"/>
        <v>0</v>
      </c>
      <c r="T102" s="219">
        <f t="shared" si="40"/>
        <v>0</v>
      </c>
      <c r="U102" s="219">
        <f t="shared" si="40"/>
        <v>0</v>
      </c>
      <c r="V102" s="219">
        <f t="shared" si="40"/>
        <v>0</v>
      </c>
      <c r="W102" s="219">
        <f>SUM(W89:W101)</f>
        <v>1422.6621711850289</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ht="14.5">
      <c r="B104" s="66"/>
      <c r="E104" s="225" t="s">
        <v>429</v>
      </c>
      <c r="F104" s="225"/>
      <c r="G104" s="226"/>
      <c r="H104" s="227"/>
      <c r="I104" s="228">
        <f>I102+I103</f>
        <v>415.54483681387489</v>
      </c>
      <c r="J104" s="228">
        <f t="shared" si="41" ref="J104">J102+J103</f>
        <v>498.65212491334529</v>
      </c>
      <c r="K104" s="228">
        <f t="shared" si="42" ref="K104">K102+K103</f>
        <v>333.52833947230391</v>
      </c>
      <c r="L104" s="228">
        <f t="shared" si="43" ref="L104">L102+L103</f>
        <v>219.77778856467089</v>
      </c>
      <c r="M104" s="228">
        <f t="shared" si="44" ref="M104">M102+M103</f>
        <v>0</v>
      </c>
      <c r="N104" s="228">
        <f t="shared" si="45" ref="N104">N102+N103</f>
        <v>0</v>
      </c>
      <c r="O104" s="228">
        <f t="shared" si="46" ref="O104:V104">O102+O103</f>
        <v>-44.840918579165908</v>
      </c>
      <c r="P104" s="228">
        <f t="shared" si="46"/>
        <v>0</v>
      </c>
      <c r="Q104" s="228">
        <f t="shared" si="46"/>
        <v>0</v>
      </c>
      <c r="R104" s="228">
        <f t="shared" si="46"/>
        <v>0</v>
      </c>
      <c r="S104" s="228">
        <f t="shared" si="46"/>
        <v>0</v>
      </c>
      <c r="T104" s="228">
        <f t="shared" si="46"/>
        <v>0</v>
      </c>
      <c r="U104" s="228">
        <f t="shared" si="46"/>
        <v>0</v>
      </c>
      <c r="V104" s="228">
        <f t="shared" si="46"/>
        <v>0</v>
      </c>
      <c r="W104" s="228">
        <f t="shared" si="47" ref="W104">W102+W103</f>
        <v>1422.6621711850289</v>
      </c>
    </row>
    <row r="105" spans="2:23" s="9" customFormat="1" ht="14.5">
      <c r="B105" s="66"/>
      <c r="E105" s="214">
        <v>42736</v>
      </c>
      <c r="F105" s="214" t="s">
        <v>184</v>
      </c>
      <c r="G105" s="215" t="s">
        <v>65</v>
      </c>
      <c r="H105" s="240">
        <f>$C$39/12</f>
        <v>0.00091666666666666665</v>
      </c>
      <c r="I105" s="230">
        <f>(SUM('1.  LRAMVA Summary'!D$54:D$71)+SUM('1.  LRAMVA Summary'!D$72:D$73)*(MONTH($E105)-1)/12)*$H105</f>
        <v>44.673059826401911</v>
      </c>
      <c r="J105" s="230">
        <f>(SUM('1.  LRAMVA Summary'!E$54:E$71)+SUM('1.  LRAMVA Summary'!E$72:E$73)*(MONTH($E105)-1)/12)*$H105</f>
        <v>39.411197890482242</v>
      </c>
      <c r="K105" s="230">
        <f>(SUM('1.  LRAMVA Summary'!F$54:F$71)+SUM('1.  LRAMVA Summary'!F$72:F$73)*(MONTH($E105)-1)/12)*$H105</f>
        <v>16.710710539925902</v>
      </c>
      <c r="L105" s="230">
        <f>(SUM('1.  LRAMVA Summary'!G$54:G$71)+SUM('1.  LRAMVA Summary'!G$72:G$73)*(MONTH($E105)-1)/12)*$H105</f>
        <v>12.424198735943767</v>
      </c>
      <c r="M105" s="230">
        <f>(SUM('1.  LRAMVA Summary'!H$54:H$71)+SUM('1.  LRAMVA Summary'!H$72:H$73)*(MONTH($E105)-1)/12)*$H105</f>
        <v>0</v>
      </c>
      <c r="N105" s="230">
        <f>(SUM('1.  LRAMVA Summary'!I$54:I$71)+SUM('1.  LRAMVA Summary'!I$72:I$73)*(MONTH($E105)-1)/12)*$H105</f>
        <v>0</v>
      </c>
      <c r="O105" s="230">
        <f>(SUM('1.  LRAMVA Summary'!J$54:J$71)+SUM('1.  LRAMVA Summary'!J$72:J$73)*(MONTH($E105)-1)/12)*$H105</f>
        <v>-11.852576321110803</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101.36659067164301</v>
      </c>
    </row>
    <row r="106" spans="2:23" s="9" customFormat="1" ht="14.5">
      <c r="B106" s="66"/>
      <c r="E106" s="214">
        <v>42767</v>
      </c>
      <c r="F106" s="214" t="s">
        <v>184</v>
      </c>
      <c r="G106" s="215" t="s">
        <v>65</v>
      </c>
      <c r="H106" s="240">
        <f t="shared" si="48" ref="H106:H107">$C$39/12</f>
        <v>0.00091666666666666665</v>
      </c>
      <c r="I106" s="230">
        <f>(SUM('1.  LRAMVA Summary'!D$54:D$71)+SUM('1.  LRAMVA Summary'!D$72:D$73)*(MONTH($E106)-1)/12)*$H106</f>
        <v>50.204887288781904</v>
      </c>
      <c r="J106" s="230">
        <f>(SUM('1.  LRAMVA Summary'!E$54:E$71)+SUM('1.  LRAMVA Summary'!E$72:E$73)*(MONTH($E106)-1)/12)*$H106</f>
        <v>41.731781374141136</v>
      </c>
      <c r="K106" s="230">
        <f>(SUM('1.  LRAMVA Summary'!F$54:F$71)+SUM('1.  LRAMVA Summary'!F$72:F$73)*(MONTH($E106)-1)/12)*$H106</f>
        <v>17.230606101945728</v>
      </c>
      <c r="L106" s="230">
        <f>(SUM('1.  LRAMVA Summary'!G$54:G$71)+SUM('1.  LRAMVA Summary'!G$72:G$73)*(MONTH($E106)-1)/12)*$H106</f>
        <v>12.863960985834213</v>
      </c>
      <c r="M106" s="230">
        <f>(SUM('1.  LRAMVA Summary'!H$54:H$71)+SUM('1.  LRAMVA Summary'!H$72:H$73)*(MONTH($E106)-1)/12)*$H106</f>
        <v>0</v>
      </c>
      <c r="N106" s="230">
        <f>(SUM('1.  LRAMVA Summary'!I$54:I$71)+SUM('1.  LRAMVA Summary'!I$72:I$73)*(MONTH($E106)-1)/12)*$H106</f>
        <v>0</v>
      </c>
      <c r="O106" s="230">
        <f>(SUM('1.  LRAMVA Summary'!J$54:J$71)+SUM('1.  LRAMVA Summary'!J$72:J$73)*(MONTH($E106)-1)/12)*$H106</f>
        <v>-11.816226411008435</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si="49" ref="W106:W116">SUM(I106:V106)</f>
        <v>110.21500933969455</v>
      </c>
    </row>
    <row r="107" spans="2:23" s="9" customFormat="1" ht="14.5">
      <c r="B107" s="66"/>
      <c r="E107" s="214">
        <v>42795</v>
      </c>
      <c r="F107" s="214" t="s">
        <v>184</v>
      </c>
      <c r="G107" s="215" t="s">
        <v>65</v>
      </c>
      <c r="H107" s="240">
        <f t="shared" si="48"/>
        <v>0.00091666666666666665</v>
      </c>
      <c r="I107" s="230">
        <f>(SUM('1.  LRAMVA Summary'!D$54:D$71)+SUM('1.  LRAMVA Summary'!D$72:D$73)*(MONTH($E107)-1)/12)*$H107</f>
        <v>55.736714751161898</v>
      </c>
      <c r="J107" s="230">
        <f>(SUM('1.  LRAMVA Summary'!E$54:E$71)+SUM('1.  LRAMVA Summary'!E$72:E$73)*(MONTH($E107)-1)/12)*$H107</f>
        <v>44.052364857800022</v>
      </c>
      <c r="K107" s="230">
        <f>(SUM('1.  LRAMVA Summary'!F$54:F$71)+SUM('1.  LRAMVA Summary'!F$72:F$73)*(MONTH($E107)-1)/12)*$H107</f>
        <v>17.750501663965562</v>
      </c>
      <c r="L107" s="230">
        <f>(SUM('1.  LRAMVA Summary'!G$54:G$71)+SUM('1.  LRAMVA Summary'!G$72:G$73)*(MONTH($E107)-1)/12)*$H107</f>
        <v>13.303723235724656</v>
      </c>
      <c r="M107" s="230">
        <f>(SUM('1.  LRAMVA Summary'!H$54:H$71)+SUM('1.  LRAMVA Summary'!H$72:H$73)*(MONTH($E107)-1)/12)*$H107</f>
        <v>0</v>
      </c>
      <c r="N107" s="230">
        <f>(SUM('1.  LRAMVA Summary'!I$54:I$71)+SUM('1.  LRAMVA Summary'!I$72:I$73)*(MONTH($E107)-1)/12)*$H107</f>
        <v>0</v>
      </c>
      <c r="O107" s="230">
        <f>(SUM('1.  LRAMVA Summary'!J$54:J$71)+SUM('1.  LRAMVA Summary'!J$72:J$73)*(MONTH($E107)-1)/12)*$H107</f>
        <v>-11.77987650090607</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119.06342800774606</v>
      </c>
    </row>
    <row r="108" spans="2:23" s="8" customFormat="1" ht="14.5">
      <c r="B108" s="239"/>
      <c r="E108" s="214">
        <v>42826</v>
      </c>
      <c r="F108" s="214" t="s">
        <v>184</v>
      </c>
      <c r="G108" s="215" t="s">
        <v>66</v>
      </c>
      <c r="H108" s="240">
        <f>$C$40/12</f>
        <v>0.00091666666666666665</v>
      </c>
      <c r="I108" s="230">
        <f>(SUM('1.  LRAMVA Summary'!D$54:D$71)+SUM('1.  LRAMVA Summary'!D$72:D$73)*(MONTH($E108)-1)/12)*$H108</f>
        <v>61.268542213541892</v>
      </c>
      <c r="J108" s="230">
        <f>(SUM('1.  LRAMVA Summary'!E$54:E$71)+SUM('1.  LRAMVA Summary'!E$72:E$73)*(MONTH($E108)-1)/12)*$H108</f>
        <v>46.372948341458908</v>
      </c>
      <c r="K108" s="230">
        <f>(SUM('1.  LRAMVA Summary'!F$54:F$71)+SUM('1.  LRAMVA Summary'!F$72:F$73)*(MONTH($E108)-1)/12)*$H108</f>
        <v>18.270397225985391</v>
      </c>
      <c r="L108" s="230">
        <f>(SUM('1.  LRAMVA Summary'!G$54:G$71)+SUM('1.  LRAMVA Summary'!G$72:G$73)*(MONTH($E108)-1)/12)*$H108</f>
        <v>13.7434854856151</v>
      </c>
      <c r="M108" s="230">
        <f>(SUM('1.  LRAMVA Summary'!H$54:H$71)+SUM('1.  LRAMVA Summary'!H$72:H$73)*(MONTH($E108)-1)/12)*$H108</f>
        <v>0</v>
      </c>
      <c r="N108" s="230">
        <f>(SUM('1.  LRAMVA Summary'!I$54:I$71)+SUM('1.  LRAMVA Summary'!I$72:I$73)*(MONTH($E108)-1)/12)*$H108</f>
        <v>0</v>
      </c>
      <c r="O108" s="230">
        <f>(SUM('1.  LRAMVA Summary'!J$54:J$71)+SUM('1.  LRAMVA Summary'!J$72:J$73)*(MONTH($E108)-1)/12)*$H108</f>
        <v>-11.743526590803702</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127.91184667579759</v>
      </c>
    </row>
    <row r="109" spans="2:23" s="9" customFormat="1" ht="14.5">
      <c r="B109" s="66"/>
      <c r="E109" s="214">
        <v>42856</v>
      </c>
      <c r="F109" s="214" t="s">
        <v>184</v>
      </c>
      <c r="G109" s="215" t="s">
        <v>66</v>
      </c>
      <c r="H109" s="240">
        <f t="shared" si="50" ref="H109:H110">$C$40/12</f>
        <v>0.00091666666666666665</v>
      </c>
      <c r="I109" s="230">
        <f>(SUM('1.  LRAMVA Summary'!D$54:D$71)+SUM('1.  LRAMVA Summary'!D$72:D$73)*(MONTH($E109)-1)/12)*$H109</f>
        <v>66.800369675921885</v>
      </c>
      <c r="J109" s="230">
        <f>(SUM('1.  LRAMVA Summary'!E$54:E$71)+SUM('1.  LRAMVA Summary'!E$72:E$73)*(MONTH($E109)-1)/12)*$H109</f>
        <v>48.693531825117802</v>
      </c>
      <c r="K109" s="230">
        <f>(SUM('1.  LRAMVA Summary'!F$54:F$71)+SUM('1.  LRAMVA Summary'!F$72:F$73)*(MONTH($E109)-1)/12)*$H109</f>
        <v>18.790292788005218</v>
      </c>
      <c r="L109" s="230">
        <f>(SUM('1.  LRAMVA Summary'!G$54:G$71)+SUM('1.  LRAMVA Summary'!G$72:G$73)*(MONTH($E109)-1)/12)*$H109</f>
        <v>14.183247735505544</v>
      </c>
      <c r="M109" s="230">
        <f>(SUM('1.  LRAMVA Summary'!H$54:H$71)+SUM('1.  LRAMVA Summary'!H$72:H$73)*(MONTH($E109)-1)/12)*$H109</f>
        <v>0</v>
      </c>
      <c r="N109" s="230">
        <f>(SUM('1.  LRAMVA Summary'!I$54:I$71)+SUM('1.  LRAMVA Summary'!I$72:I$73)*(MONTH($E109)-1)/12)*$H109</f>
        <v>0</v>
      </c>
      <c r="O109" s="230">
        <f>(SUM('1.  LRAMVA Summary'!J$54:J$71)+SUM('1.  LRAMVA Summary'!J$72:J$73)*(MONTH($E109)-1)/12)*$H109</f>
        <v>-11.707176680701336</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136.76026534384911</v>
      </c>
    </row>
    <row r="110" spans="2:23" s="238" customFormat="1" ht="14.5">
      <c r="B110" s="237"/>
      <c r="E110" s="214">
        <v>42887</v>
      </c>
      <c r="F110" s="214" t="s">
        <v>184</v>
      </c>
      <c r="G110" s="215" t="s">
        <v>66</v>
      </c>
      <c r="H110" s="240">
        <f t="shared" si="50"/>
        <v>0.00091666666666666665</v>
      </c>
      <c r="I110" s="230">
        <f>(SUM('1.  LRAMVA Summary'!D$54:D$71)+SUM('1.  LRAMVA Summary'!D$72:D$73)*(MONTH($E110)-1)/12)*$H110</f>
        <v>72.332197138301879</v>
      </c>
      <c r="J110" s="230">
        <f>(SUM('1.  LRAMVA Summary'!E$54:E$71)+SUM('1.  LRAMVA Summary'!E$72:E$73)*(MONTH($E110)-1)/12)*$H110</f>
        <v>51.014115308776688</v>
      </c>
      <c r="K110" s="230">
        <f>(SUM('1.  LRAMVA Summary'!F$54:F$71)+SUM('1.  LRAMVA Summary'!F$72:F$73)*(MONTH($E110)-1)/12)*$H110</f>
        <v>19.310188350025047</v>
      </c>
      <c r="L110" s="230">
        <f>(SUM('1.  LRAMVA Summary'!G$54:G$71)+SUM('1.  LRAMVA Summary'!G$72:G$73)*(MONTH($E110)-1)/12)*$H110</f>
        <v>14.623009985395989</v>
      </c>
      <c r="M110" s="230">
        <f>(SUM('1.  LRAMVA Summary'!H$54:H$71)+SUM('1.  LRAMVA Summary'!H$72:H$73)*(MONTH($E110)-1)/12)*$H110</f>
        <v>0</v>
      </c>
      <c r="N110" s="230">
        <f>(SUM('1.  LRAMVA Summary'!I$54:I$71)+SUM('1.  LRAMVA Summary'!I$72:I$73)*(MONTH($E110)-1)/12)*$H110</f>
        <v>0</v>
      </c>
      <c r="O110" s="230">
        <f>(SUM('1.  LRAMVA Summary'!J$54:J$71)+SUM('1.  LRAMVA Summary'!J$72:J$73)*(MONTH($E110)-1)/12)*$H110</f>
        <v>-11.670826770598968</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145.60868401190061</v>
      </c>
    </row>
    <row r="111" spans="2:23" s="9" customFormat="1" ht="14.5">
      <c r="B111" s="66"/>
      <c r="E111" s="214">
        <v>42917</v>
      </c>
      <c r="F111" s="214" t="s">
        <v>184</v>
      </c>
      <c r="G111" s="215" t="s">
        <v>68</v>
      </c>
      <c r="H111" s="240">
        <f>$C$41/12</f>
        <v>0.00091666666666666665</v>
      </c>
      <c r="I111" s="230">
        <f>(SUM('1.  LRAMVA Summary'!D$54:D$71)+SUM('1.  LRAMVA Summary'!D$72:D$73)*(MONTH($E111)-1)/12)*$H111</f>
        <v>77.864024600681887</v>
      </c>
      <c r="J111" s="230">
        <f>(SUM('1.  LRAMVA Summary'!E$54:E$71)+SUM('1.  LRAMVA Summary'!E$72:E$73)*(MONTH($E111)-1)/12)*$H111</f>
        <v>53.334698792435574</v>
      </c>
      <c r="K111" s="230">
        <f>(SUM('1.  LRAMVA Summary'!F$54:F$71)+SUM('1.  LRAMVA Summary'!F$72:F$73)*(MONTH($E111)-1)/12)*$H111</f>
        <v>19.830083912044877</v>
      </c>
      <c r="L111" s="230">
        <f>(SUM('1.  LRAMVA Summary'!G$54:G$71)+SUM('1.  LRAMVA Summary'!G$72:G$73)*(MONTH($E111)-1)/12)*$H111</f>
        <v>15.062772235286431</v>
      </c>
      <c r="M111" s="230">
        <f>(SUM('1.  LRAMVA Summary'!H$54:H$71)+SUM('1.  LRAMVA Summary'!H$72:H$73)*(MONTH($E111)-1)/12)*$H111</f>
        <v>0</v>
      </c>
      <c r="N111" s="230">
        <f>(SUM('1.  LRAMVA Summary'!I$54:I$71)+SUM('1.  LRAMVA Summary'!I$72:I$73)*(MONTH($E111)-1)/12)*$H111</f>
        <v>0</v>
      </c>
      <c r="O111" s="230">
        <f>(SUM('1.  LRAMVA Summary'!J$54:J$71)+SUM('1.  LRAMVA Summary'!J$72:J$73)*(MONTH($E111)-1)/12)*$H111</f>
        <v>-11.634476860496603</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154.45710267995219</v>
      </c>
    </row>
    <row r="112" spans="2:23" s="9" customFormat="1" ht="14.5">
      <c r="B112" s="66"/>
      <c r="E112" s="214">
        <v>42948</v>
      </c>
      <c r="F112" s="214" t="s">
        <v>184</v>
      </c>
      <c r="G112" s="215" t="s">
        <v>68</v>
      </c>
      <c r="H112" s="240">
        <f t="shared" si="51" ref="H112:H113">$C$41/12</f>
        <v>0.00091666666666666665</v>
      </c>
      <c r="I112" s="230">
        <f>(SUM('1.  LRAMVA Summary'!D$54:D$71)+SUM('1.  LRAMVA Summary'!D$72:D$73)*(MONTH($E112)-1)/12)*$H112</f>
        <v>83.395852063061881</v>
      </c>
      <c r="J112" s="230">
        <f>(SUM('1.  LRAMVA Summary'!E$54:E$71)+SUM('1.  LRAMVA Summary'!E$72:E$73)*(MONTH($E112)-1)/12)*$H112</f>
        <v>55.655282276094468</v>
      </c>
      <c r="K112" s="230">
        <f>(SUM('1.  LRAMVA Summary'!F$54:F$71)+SUM('1.  LRAMVA Summary'!F$72:F$73)*(MONTH($E112)-1)/12)*$H112</f>
        <v>20.34997947406471</v>
      </c>
      <c r="L112" s="230">
        <f>(SUM('1.  LRAMVA Summary'!G$54:G$71)+SUM('1.  LRAMVA Summary'!G$72:G$73)*(MONTH($E112)-1)/12)*$H112</f>
        <v>15.502534485176875</v>
      </c>
      <c r="M112" s="230">
        <f>(SUM('1.  LRAMVA Summary'!H$54:H$71)+SUM('1.  LRAMVA Summary'!H$72:H$73)*(MONTH($E112)-1)/12)*$H112</f>
        <v>0</v>
      </c>
      <c r="N112" s="230">
        <f>(SUM('1.  LRAMVA Summary'!I$54:I$71)+SUM('1.  LRAMVA Summary'!I$72:I$73)*(MONTH($E112)-1)/12)*$H112</f>
        <v>0</v>
      </c>
      <c r="O112" s="230">
        <f>(SUM('1.  LRAMVA Summary'!J$54:J$71)+SUM('1.  LRAMVA Summary'!J$72:J$73)*(MONTH($E112)-1)/12)*$H112</f>
        <v>-11.598126950394235</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163.30552134800371</v>
      </c>
    </row>
    <row r="113" spans="2:23" s="9" customFormat="1" ht="14.5">
      <c r="B113" s="66"/>
      <c r="E113" s="214">
        <v>42979</v>
      </c>
      <c r="F113" s="214" t="s">
        <v>184</v>
      </c>
      <c r="G113" s="215" t="s">
        <v>68</v>
      </c>
      <c r="H113" s="240">
        <f t="shared" si="51"/>
        <v>0.00091666666666666665</v>
      </c>
      <c r="I113" s="230">
        <f>(SUM('1.  LRAMVA Summary'!D$54:D$71)+SUM('1.  LRAMVA Summary'!D$72:D$73)*(MONTH($E113)-1)/12)*$H113</f>
        <v>88.927679525441874</v>
      </c>
      <c r="J113" s="230">
        <f>(SUM('1.  LRAMVA Summary'!E$54:E$71)+SUM('1.  LRAMVA Summary'!E$72:E$73)*(MONTH($E113)-1)/12)*$H113</f>
        <v>57.975865759753354</v>
      </c>
      <c r="K113" s="230">
        <f>(SUM('1.  LRAMVA Summary'!F$54:F$71)+SUM('1.  LRAMVA Summary'!F$72:F$73)*(MONTH($E113)-1)/12)*$H113</f>
        <v>20.869875036084537</v>
      </c>
      <c r="L113" s="230">
        <f>(SUM('1.  LRAMVA Summary'!G$54:G$71)+SUM('1.  LRAMVA Summary'!G$72:G$73)*(MONTH($E113)-1)/12)*$H113</f>
        <v>15.942296735067322</v>
      </c>
      <c r="M113" s="230">
        <f>(SUM('1.  LRAMVA Summary'!H$54:H$71)+SUM('1.  LRAMVA Summary'!H$72:H$73)*(MONTH($E113)-1)/12)*$H113</f>
        <v>0</v>
      </c>
      <c r="N113" s="230">
        <f>(SUM('1.  LRAMVA Summary'!I$54:I$71)+SUM('1.  LRAMVA Summary'!I$72:I$73)*(MONTH($E113)-1)/12)*$H113</f>
        <v>0</v>
      </c>
      <c r="O113" s="230">
        <f>(SUM('1.  LRAMVA Summary'!J$54:J$71)+SUM('1.  LRAMVA Summary'!J$72:J$73)*(MONTH($E113)-1)/12)*$H113</f>
        <v>-11.561777040291869</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172.15394001605523</v>
      </c>
    </row>
    <row r="114" spans="2:23" s="9" customFormat="1" ht="14.5">
      <c r="B114" s="66"/>
      <c r="E114" s="214">
        <v>43009</v>
      </c>
      <c r="F114" s="214" t="s">
        <v>184</v>
      </c>
      <c r="G114" s="215" t="s">
        <v>69</v>
      </c>
      <c r="H114" s="240">
        <f>$C$42/12</f>
        <v>0.00125</v>
      </c>
      <c r="I114" s="230">
        <f>(SUM('1.  LRAMVA Summary'!D$54:D$71)+SUM('1.  LRAMVA Summary'!D$72:D$73)*(MONTH($E114)-1)/12)*$H114</f>
        <v>128.80841861975711</v>
      </c>
      <c r="J114" s="230">
        <f>(SUM('1.  LRAMVA Summary'!E$54:E$71)+SUM('1.  LRAMVA Summary'!E$72:E$73)*(MONTH($E114)-1)/12)*$H114</f>
        <v>82.222430786471236</v>
      </c>
      <c r="K114" s="230">
        <f>(SUM('1.  LRAMVA Summary'!F$54:F$71)+SUM('1.  LRAMVA Summary'!F$72:F$73)*(MONTH($E114)-1)/12)*$H114</f>
        <v>29.167868997415045</v>
      </c>
      <c r="L114" s="230">
        <f>(SUM('1.  LRAMVA Summary'!G$54:G$71)+SUM('1.  LRAMVA Summary'!G$72:G$73)*(MONTH($E114)-1)/12)*$H114</f>
        <v>22.339171343124228</v>
      </c>
      <c r="M114" s="230">
        <f>(SUM('1.  LRAMVA Summary'!H$54:H$71)+SUM('1.  LRAMVA Summary'!H$72:H$73)*(MONTH($E114)-1)/12)*$H114</f>
        <v>0</v>
      </c>
      <c r="N114" s="230">
        <f>(SUM('1.  LRAMVA Summary'!I$54:I$71)+SUM('1.  LRAMVA Summary'!I$72:I$73)*(MONTH($E114)-1)/12)*$H114</f>
        <v>0</v>
      </c>
      <c r="O114" s="230">
        <f>(SUM('1.  LRAMVA Summary'!J$54:J$71)+SUM('1.  LRAMVA Summary'!J$72:J$73)*(MONTH($E114)-1)/12)*$H114</f>
        <v>-15.716491541167505</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246.82139820560013</v>
      </c>
    </row>
    <row r="115" spans="2:23" s="9" customFormat="1" ht="14.5">
      <c r="B115" s="66"/>
      <c r="E115" s="214">
        <v>43040</v>
      </c>
      <c r="F115" s="214" t="s">
        <v>184</v>
      </c>
      <c r="G115" s="215" t="s">
        <v>69</v>
      </c>
      <c r="H115" s="240">
        <f t="shared" si="52" ref="H115:H116">$C$42/12</f>
        <v>0.00125</v>
      </c>
      <c r="I115" s="230">
        <f>(SUM('1.  LRAMVA Summary'!D$54:D$71)+SUM('1.  LRAMVA Summary'!D$72:D$73)*(MONTH($E115)-1)/12)*$H115</f>
        <v>136.35181970482074</v>
      </c>
      <c r="J115" s="230">
        <f>(SUM('1.  LRAMVA Summary'!E$54:E$71)+SUM('1.  LRAMVA Summary'!E$72:E$73)*(MONTH($E115)-1)/12)*$H115</f>
        <v>85.386862809642452</v>
      </c>
      <c r="K115" s="230">
        <f>(SUM('1.  LRAMVA Summary'!F$54:F$71)+SUM('1.  LRAMVA Summary'!F$72:F$73)*(MONTH($E115)-1)/12)*$H115</f>
        <v>29.876817491078452</v>
      </c>
      <c r="L115" s="230">
        <f>(SUM('1.  LRAMVA Summary'!G$54:G$71)+SUM('1.  LRAMVA Summary'!G$72:G$73)*(MONTH($E115)-1)/12)*$H115</f>
        <v>22.938847138429374</v>
      </c>
      <c r="M115" s="230">
        <f>(SUM('1.  LRAMVA Summary'!H$54:H$71)+SUM('1.  LRAMVA Summary'!H$72:H$73)*(MONTH($E115)-1)/12)*$H115</f>
        <v>0</v>
      </c>
      <c r="N115" s="230">
        <f>(SUM('1.  LRAMVA Summary'!I$54:I$71)+SUM('1.  LRAMVA Summary'!I$72:I$73)*(MONTH($E115)-1)/12)*$H115</f>
        <v>0</v>
      </c>
      <c r="O115" s="230">
        <f>(SUM('1.  LRAMVA Summary'!J$54:J$71)+SUM('1.  LRAMVA Summary'!J$72:J$73)*(MONTH($E115)-1)/12)*$H115</f>
        <v>-15.666923481937005</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258.88742366203405</v>
      </c>
    </row>
    <row r="116" spans="2:23" s="9" customFormat="1" ht="14.5">
      <c r="B116" s="66"/>
      <c r="E116" s="214">
        <v>43070</v>
      </c>
      <c r="F116" s="214" t="s">
        <v>184</v>
      </c>
      <c r="G116" s="215" t="s">
        <v>69</v>
      </c>
      <c r="H116" s="240">
        <f t="shared" si="52"/>
        <v>0.00125</v>
      </c>
      <c r="I116" s="230">
        <f>(SUM('1.  LRAMVA Summary'!D$54:D$71)+SUM('1.  LRAMVA Summary'!D$72:D$73)*(MONTH($E116)-1)/12)*$H116</f>
        <v>143.89522078988435</v>
      </c>
      <c r="J116" s="230">
        <f>(SUM('1.  LRAMVA Summary'!E$54:E$71)+SUM('1.  LRAMVA Summary'!E$72:E$73)*(MONTH($E116)-1)/12)*$H116</f>
        <v>88.551294832813653</v>
      </c>
      <c r="K116" s="230">
        <f>(SUM('1.  LRAMVA Summary'!F$54:F$71)+SUM('1.  LRAMVA Summary'!F$72:F$73)*(MONTH($E116)-1)/12)*$H116</f>
        <v>30.585765984741851</v>
      </c>
      <c r="L116" s="230">
        <f>(SUM('1.  LRAMVA Summary'!G$54:G$71)+SUM('1.  LRAMVA Summary'!G$72:G$73)*(MONTH($E116)-1)/12)*$H116</f>
        <v>23.538522933734527</v>
      </c>
      <c r="M116" s="230">
        <f>(SUM('1.  LRAMVA Summary'!H$54:H$71)+SUM('1.  LRAMVA Summary'!H$72:H$73)*(MONTH($E116)-1)/12)*$H116</f>
        <v>0</v>
      </c>
      <c r="N116" s="230">
        <f>(SUM('1.  LRAMVA Summary'!I$54:I$71)+SUM('1.  LRAMVA Summary'!I$72:I$73)*(MONTH($E116)-1)/12)*$H116</f>
        <v>0</v>
      </c>
      <c r="O116" s="230">
        <f>(SUM('1.  LRAMVA Summary'!J$54:J$71)+SUM('1.  LRAMVA Summary'!J$72:J$73)*(MONTH($E116)-1)/12)*$H116</f>
        <v>-15.617355422706503</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270.95344911846792</v>
      </c>
    </row>
    <row r="117" spans="2:23" s="9" customFormat="1" ht="15" thickBot="1">
      <c r="B117" s="66"/>
      <c r="E117" s="216" t="s">
        <v>466</v>
      </c>
      <c r="F117" s="216"/>
      <c r="G117" s="217"/>
      <c r="H117" s="218"/>
      <c r="I117" s="219">
        <f>SUM(I104:I116)</f>
        <v>1425.8036230116343</v>
      </c>
      <c r="J117" s="219">
        <f>SUM(J104:J116)</f>
        <v>1193.054499768333</v>
      </c>
      <c r="K117" s="219">
        <f t="shared" si="53" ref="K117:O117">SUM(K104:K116)</f>
        <v>592.27142703758625</v>
      </c>
      <c r="L117" s="219">
        <f t="shared" si="53"/>
        <v>416.2435595995089</v>
      </c>
      <c r="M117" s="219">
        <f t="shared" si="53"/>
        <v>0</v>
      </c>
      <c r="N117" s="219">
        <f t="shared" si="53"/>
        <v>0</v>
      </c>
      <c r="O117" s="219">
        <f t="shared" si="53"/>
        <v>-197.20627915128895</v>
      </c>
      <c r="P117" s="219">
        <f t="shared" si="54" ref="P117:V117">SUM(P104:P116)</f>
        <v>0</v>
      </c>
      <c r="Q117" s="219">
        <f t="shared" si="54"/>
        <v>0</v>
      </c>
      <c r="R117" s="219">
        <f t="shared" si="54"/>
        <v>0</v>
      </c>
      <c r="S117" s="219">
        <f t="shared" si="54"/>
        <v>0</v>
      </c>
      <c r="T117" s="219">
        <f t="shared" si="54"/>
        <v>0</v>
      </c>
      <c r="U117" s="219">
        <f t="shared" si="54"/>
        <v>0</v>
      </c>
      <c r="V117" s="219">
        <f t="shared" si="54"/>
        <v>0</v>
      </c>
      <c r="W117" s="219">
        <f>SUM(W104:W116)</f>
        <v>3430.1668302657736</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ht="14.5">
      <c r="B119" s="66"/>
      <c r="E119" s="225" t="s">
        <v>430</v>
      </c>
      <c r="F119" s="225"/>
      <c r="G119" s="226"/>
      <c r="H119" s="227"/>
      <c r="I119" s="228">
        <f>I117+I118</f>
        <v>1425.8036230116343</v>
      </c>
      <c r="J119" s="228">
        <f t="shared" si="55" ref="J119">J117+J118</f>
        <v>1193.054499768333</v>
      </c>
      <c r="K119" s="228">
        <f t="shared" si="56" ref="K119">K117+K118</f>
        <v>592.27142703758625</v>
      </c>
      <c r="L119" s="228">
        <f t="shared" si="57" ref="L119">L117+L118</f>
        <v>416.2435595995089</v>
      </c>
      <c r="M119" s="228">
        <f t="shared" si="58" ref="M119">M117+M118</f>
        <v>0</v>
      </c>
      <c r="N119" s="228">
        <f t="shared" si="59" ref="N119">N117+N118</f>
        <v>0</v>
      </c>
      <c r="O119" s="228">
        <f t="shared" si="60" ref="O119:V119">O117+O118</f>
        <v>-197.20627915128895</v>
      </c>
      <c r="P119" s="228">
        <f t="shared" si="60"/>
        <v>0</v>
      </c>
      <c r="Q119" s="228">
        <f t="shared" si="60"/>
        <v>0</v>
      </c>
      <c r="R119" s="228">
        <f t="shared" si="60"/>
        <v>0</v>
      </c>
      <c r="S119" s="228">
        <f t="shared" si="60"/>
        <v>0</v>
      </c>
      <c r="T119" s="228">
        <f t="shared" si="60"/>
        <v>0</v>
      </c>
      <c r="U119" s="228">
        <f t="shared" si="60"/>
        <v>0</v>
      </c>
      <c r="V119" s="228">
        <f t="shared" si="60"/>
        <v>0</v>
      </c>
      <c r="W119" s="228">
        <f t="shared" si="61" ref="W119">W117+W118</f>
        <v>3430.1668302657736</v>
      </c>
    </row>
    <row r="120" spans="2:23" s="9" customFormat="1" ht="14.5">
      <c r="B120" s="66"/>
      <c r="E120" s="214">
        <v>43101</v>
      </c>
      <c r="F120" s="214" t="s">
        <v>185</v>
      </c>
      <c r="G120" s="215" t="s">
        <v>65</v>
      </c>
      <c r="H120" s="240">
        <f>$C$43/12</f>
        <v>0.00125</v>
      </c>
      <c r="I120" s="230">
        <f>(SUM('1.  LRAMVA Summary'!D$54:D$74)+SUM('1.  LRAMVA Summary'!D$75:D$76)*(MONTH($E120)-1)/12)*$H120</f>
        <v>151.43862187494798</v>
      </c>
      <c r="J120" s="230">
        <f>(SUM('1.  LRAMVA Summary'!E$54:E$74)+SUM('1.  LRAMVA Summary'!E$75:E$76)*(MONTH($E120)-1)/12)*$H120</f>
        <v>91.715726855984883</v>
      </c>
      <c r="K120" s="230">
        <f>(SUM('1.  LRAMVA Summary'!F$54:F$74)+SUM('1.  LRAMVA Summary'!F$75:F$76)*(MONTH($E120)-1)/12)*$H120</f>
        <v>31.294714478405258</v>
      </c>
      <c r="L120" s="230">
        <f>(SUM('1.  LRAMVA Summary'!G$54:G$74)+SUM('1.  LRAMVA Summary'!G$75:G$76)*(MONTH($E120)-1)/12)*$H120</f>
        <v>24.138198729039679</v>
      </c>
      <c r="M120" s="230">
        <f>(SUM('1.  LRAMVA Summary'!H$54:H$74)+SUM('1.  LRAMVA Summary'!H$75:H$76)*(MONTH($E120)-1)/12)*$H120</f>
        <v>0</v>
      </c>
      <c r="N120" s="230">
        <f>(SUM('1.  LRAMVA Summary'!I$54:I$74)+SUM('1.  LRAMVA Summary'!I$75:I$76)*(MONTH($E120)-1)/12)*$H120</f>
        <v>0</v>
      </c>
      <c r="O120" s="230">
        <f>(SUM('1.  LRAMVA Summary'!J$54:J$74)+SUM('1.  LRAMVA Summary'!J$75:J$76)*(MONTH($E120)-1)/12)*$H120</f>
        <v>-15.567787363476004</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283.01947457490184</v>
      </c>
    </row>
    <row r="121" spans="2:23" s="9" customFormat="1" ht="14.5">
      <c r="B121" s="66"/>
      <c r="E121" s="214">
        <v>43132</v>
      </c>
      <c r="F121" s="214" t="s">
        <v>185</v>
      </c>
      <c r="G121" s="215" t="s">
        <v>65</v>
      </c>
      <c r="H121" s="240">
        <f t="shared" si="62" ref="H121:H122">$C$43/12</f>
        <v>0.00125</v>
      </c>
      <c r="I121" s="230">
        <f>(SUM('1.  LRAMVA Summary'!D$54:D$74)+SUM('1.  LRAMVA Summary'!D$75:D$76)*(MONTH($E121)-1)/12)*$H121</f>
        <v>155.83966460256625</v>
      </c>
      <c r="J121" s="230">
        <f>(SUM('1.  LRAMVA Summary'!E$54:E$74)+SUM('1.  LRAMVA Summary'!E$75:E$76)*(MONTH($E121)-1)/12)*$H121</f>
        <v>95.269833036251967</v>
      </c>
      <c r="K121" s="230">
        <f>(SUM('1.  LRAMVA Summary'!F$54:F$74)+SUM('1.  LRAMVA Summary'!F$75:F$76)*(MONTH($E121)-1)/12)*$H121</f>
        <v>32.494711284205842</v>
      </c>
      <c r="L121" s="230">
        <f>(SUM('1.  LRAMVA Summary'!G$54:G$74)+SUM('1.  LRAMVA Summary'!G$75:G$76)*(MONTH($E121)-1)/12)*$H121</f>
        <v>25.112617409329673</v>
      </c>
      <c r="M121" s="230">
        <f>(SUM('1.  LRAMVA Summary'!H$54:H$74)+SUM('1.  LRAMVA Summary'!H$75:H$76)*(MONTH($E121)-1)/12)*$H121</f>
        <v>0</v>
      </c>
      <c r="N121" s="230">
        <f>(SUM('1.  LRAMVA Summary'!I$54:I$74)+SUM('1.  LRAMVA Summary'!I$75:I$76)*(MONTH($E121)-1)/12)*$H121</f>
        <v>0</v>
      </c>
      <c r="O121" s="230">
        <f>(SUM('1.  LRAMVA Summary'!J$54:J$74)+SUM('1.  LRAMVA Summary'!J$75:J$76)*(MONTH($E121)-1)/12)*$H121</f>
        <v>-15.502566204480004</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si="63" ref="W121:W131">SUM(I121:V121)</f>
        <v>293.21426012787373</v>
      </c>
    </row>
    <row r="122" spans="2:23" s="9" customFormat="1" ht="14.5">
      <c r="B122" s="66"/>
      <c r="E122" s="214">
        <v>43160</v>
      </c>
      <c r="F122" s="214" t="s">
        <v>185</v>
      </c>
      <c r="G122" s="215" t="s">
        <v>65</v>
      </c>
      <c r="H122" s="240">
        <f t="shared" si="62"/>
        <v>0.00125</v>
      </c>
      <c r="I122" s="230">
        <f>(SUM('1.  LRAMVA Summary'!D$54:D$74)+SUM('1.  LRAMVA Summary'!D$75:D$76)*(MONTH($E122)-1)/12)*$H122</f>
        <v>160.24070733018451</v>
      </c>
      <c r="J122" s="230">
        <f>(SUM('1.  LRAMVA Summary'!E$54:E$74)+SUM('1.  LRAMVA Summary'!E$75:E$76)*(MONTH($E122)-1)/12)*$H122</f>
        <v>98.823939216519037</v>
      </c>
      <c r="K122" s="230">
        <f>(SUM('1.  LRAMVA Summary'!F$54:F$74)+SUM('1.  LRAMVA Summary'!F$75:F$76)*(MONTH($E122)-1)/12)*$H122</f>
        <v>33.694708090006422</v>
      </c>
      <c r="L122" s="230">
        <f>(SUM('1.  LRAMVA Summary'!G$54:G$74)+SUM('1.  LRAMVA Summary'!G$75:G$76)*(MONTH($E122)-1)/12)*$H122</f>
        <v>26.087036089619666</v>
      </c>
      <c r="M122" s="230">
        <f>(SUM('1.  LRAMVA Summary'!H$54:H$74)+SUM('1.  LRAMVA Summary'!H$75:H$76)*(MONTH($E122)-1)/12)*$H122</f>
        <v>0</v>
      </c>
      <c r="N122" s="230">
        <f>(SUM('1.  LRAMVA Summary'!I$54:I$74)+SUM('1.  LRAMVA Summary'!I$75:I$76)*(MONTH($E122)-1)/12)*$H122</f>
        <v>0</v>
      </c>
      <c r="O122" s="230">
        <f>(SUM('1.  LRAMVA Summary'!J$54:J$74)+SUM('1.  LRAMVA Summary'!J$75:J$76)*(MONTH($E122)-1)/12)*$H122</f>
        <v>-15.437345045484003</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303.40904568084568</v>
      </c>
    </row>
    <row r="123" spans="2:23" s="8" customFormat="1" ht="14.5">
      <c r="B123" s="239"/>
      <c r="E123" s="214">
        <v>43191</v>
      </c>
      <c r="F123" s="214" t="s">
        <v>185</v>
      </c>
      <c r="G123" s="215" t="s">
        <v>66</v>
      </c>
      <c r="H123" s="240">
        <f>$C$44/12</f>
        <v>0.001575</v>
      </c>
      <c r="I123" s="230">
        <f>(SUM('1.  LRAMVA Summary'!D$54:D$74)+SUM('1.  LRAMVA Summary'!D$75:D$76)*(MONTH($E123)-1)/12)*$H123</f>
        <v>207.44860507283147</v>
      </c>
      <c r="J123" s="230">
        <f>(SUM('1.  LRAMVA Summary'!E$54:E$74)+SUM('1.  LRAMVA Summary'!E$75:E$76)*(MONTH($E123)-1)/12)*$H123</f>
        <v>128.99633719995049</v>
      </c>
      <c r="K123" s="230">
        <f>(SUM('1.  LRAMVA Summary'!F$54:F$74)+SUM('1.  LRAMVA Summary'!F$75:F$76)*(MONTH($E123)-1)/12)*$H123</f>
        <v>43.967328168716826</v>
      </c>
      <c r="L123" s="230">
        <f>(SUM('1.  LRAMVA Summary'!G$54:G$74)+SUM('1.  LRAMVA Summary'!G$75:G$76)*(MONTH($E123)-1)/12)*$H123</f>
        <v>34.097433010086171</v>
      </c>
      <c r="M123" s="230">
        <f>(SUM('1.  LRAMVA Summary'!H$54:H$74)+SUM('1.  LRAMVA Summary'!H$75:H$76)*(MONTH($E123)-1)/12)*$H123</f>
        <v>0</v>
      </c>
      <c r="N123" s="230">
        <f>(SUM('1.  LRAMVA Summary'!I$54:I$74)+SUM('1.  LRAMVA Summary'!I$75:I$76)*(MONTH($E123)-1)/12)*$H123</f>
        <v>0</v>
      </c>
      <c r="O123" s="230">
        <f>(SUM('1.  LRAMVA Summary'!J$54:J$74)+SUM('1.  LRAMVA Summary'!J$75:J$76)*(MONTH($E123)-1)/12)*$H123</f>
        <v>-19.368876096974887</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395.14082735461011</v>
      </c>
    </row>
    <row r="124" spans="2:23" s="9" customFormat="1" ht="14.5">
      <c r="B124" s="66"/>
      <c r="E124" s="214">
        <v>43221</v>
      </c>
      <c r="F124" s="214" t="s">
        <v>185</v>
      </c>
      <c r="G124" s="215" t="s">
        <v>66</v>
      </c>
      <c r="H124" s="240">
        <f t="shared" si="64" ref="H124:H125">$C$44/12</f>
        <v>0.001575</v>
      </c>
      <c r="I124" s="230">
        <f>(SUM('1.  LRAMVA Summary'!D$54:D$74)+SUM('1.  LRAMVA Summary'!D$75:D$76)*(MONTH($E124)-1)/12)*$H124</f>
        <v>212.99391890963048</v>
      </c>
      <c r="J124" s="230">
        <f>(SUM('1.  LRAMVA Summary'!E$54:E$74)+SUM('1.  LRAMVA Summary'!E$75:E$76)*(MONTH($E124)-1)/12)*$H124</f>
        <v>133.474510987087</v>
      </c>
      <c r="K124" s="230">
        <f>(SUM('1.  LRAMVA Summary'!F$54:F$74)+SUM('1.  LRAMVA Summary'!F$75:F$76)*(MONTH($E124)-1)/12)*$H124</f>
        <v>45.479324144025561</v>
      </c>
      <c r="L124" s="230">
        <f>(SUM('1.  LRAMVA Summary'!G$54:G$74)+SUM('1.  LRAMVA Summary'!G$75:G$76)*(MONTH($E124)-1)/12)*$H124</f>
        <v>35.325200547251569</v>
      </c>
      <c r="M124" s="230">
        <f>(SUM('1.  LRAMVA Summary'!H$54:H$74)+SUM('1.  LRAMVA Summary'!H$75:H$76)*(MONTH($E124)-1)/12)*$H124</f>
        <v>0</v>
      </c>
      <c r="N124" s="230">
        <f>(SUM('1.  LRAMVA Summary'!I$54:I$74)+SUM('1.  LRAMVA Summary'!I$75:I$76)*(MONTH($E124)-1)/12)*$H124</f>
        <v>0</v>
      </c>
      <c r="O124" s="230">
        <f>(SUM('1.  LRAMVA Summary'!J$54:J$74)+SUM('1.  LRAMVA Summary'!J$75:J$76)*(MONTH($E124)-1)/12)*$H124</f>
        <v>-19.286697436639926</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407.98625715135466</v>
      </c>
    </row>
    <row r="125" spans="2:23" s="238" customFormat="1" ht="14.5">
      <c r="B125" s="237"/>
      <c r="E125" s="214">
        <v>43252</v>
      </c>
      <c r="F125" s="214" t="s">
        <v>185</v>
      </c>
      <c r="G125" s="215" t="s">
        <v>66</v>
      </c>
      <c r="H125" s="240">
        <f t="shared" si="64"/>
        <v>0.001575</v>
      </c>
      <c r="I125" s="230">
        <f>(SUM('1.  LRAMVA Summary'!D$54:D$74)+SUM('1.  LRAMVA Summary'!D$75:D$76)*(MONTH($E125)-1)/12)*$H125</f>
        <v>218.53923274642949</v>
      </c>
      <c r="J125" s="230">
        <f>(SUM('1.  LRAMVA Summary'!E$54:E$74)+SUM('1.  LRAMVA Summary'!E$75:E$76)*(MONTH($E125)-1)/12)*$H125</f>
        <v>137.95268477422351</v>
      </c>
      <c r="K125" s="230">
        <f>(SUM('1.  LRAMVA Summary'!F$54:F$74)+SUM('1.  LRAMVA Summary'!F$75:F$76)*(MONTH($E125)-1)/12)*$H125</f>
        <v>46.991320119334297</v>
      </c>
      <c r="L125" s="230">
        <f>(SUM('1.  LRAMVA Summary'!G$54:G$74)+SUM('1.  LRAMVA Summary'!G$75:G$76)*(MONTH($E125)-1)/12)*$H125</f>
        <v>36.552968084416953</v>
      </c>
      <c r="M125" s="230">
        <f>(SUM('1.  LRAMVA Summary'!H$54:H$74)+SUM('1.  LRAMVA Summary'!H$75:H$76)*(MONTH($E125)-1)/12)*$H125</f>
        <v>0</v>
      </c>
      <c r="N125" s="230">
        <f>(SUM('1.  LRAMVA Summary'!I$54:I$74)+SUM('1.  LRAMVA Summary'!I$75:I$76)*(MONTH($E125)-1)/12)*$H125</f>
        <v>0</v>
      </c>
      <c r="O125" s="230">
        <f>(SUM('1.  LRAMVA Summary'!J$54:J$74)+SUM('1.  LRAMVA Summary'!J$75:J$76)*(MONTH($E125)-1)/12)*$H125</f>
        <v>-19.204518776304965</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420.83168694809933</v>
      </c>
    </row>
    <row r="126" spans="2:23" s="9" customFormat="1" ht="14.5">
      <c r="B126" s="66"/>
      <c r="E126" s="214">
        <v>43282</v>
      </c>
      <c r="F126" s="214" t="s">
        <v>185</v>
      </c>
      <c r="G126" s="215" t="s">
        <v>68</v>
      </c>
      <c r="H126" s="240">
        <f>$C$45/12</f>
        <v>0.001575</v>
      </c>
      <c r="I126" s="230">
        <f>(SUM('1.  LRAMVA Summary'!D$54:D$74)+SUM('1.  LRAMVA Summary'!D$75:D$76)*(MONTH($E126)-1)/12)*$H126</f>
        <v>224.08454658322847</v>
      </c>
      <c r="J126" s="230">
        <f>(SUM('1.  LRAMVA Summary'!E$54:E$74)+SUM('1.  LRAMVA Summary'!E$75:E$76)*(MONTH($E126)-1)/12)*$H126</f>
        <v>142.43085856136003</v>
      </c>
      <c r="K126" s="230">
        <f>(SUM('1.  LRAMVA Summary'!F$54:F$74)+SUM('1.  LRAMVA Summary'!F$75:F$76)*(MONTH($E126)-1)/12)*$H126</f>
        <v>48.503316094643033</v>
      </c>
      <c r="L126" s="230">
        <f>(SUM('1.  LRAMVA Summary'!G$54:G$74)+SUM('1.  LRAMVA Summary'!G$75:G$76)*(MONTH($E126)-1)/12)*$H126</f>
        <v>37.780735621582352</v>
      </c>
      <c r="M126" s="230">
        <f>(SUM('1.  LRAMVA Summary'!H$54:H$74)+SUM('1.  LRAMVA Summary'!H$75:H$76)*(MONTH($E126)-1)/12)*$H126</f>
        <v>0</v>
      </c>
      <c r="N126" s="230">
        <f>(SUM('1.  LRAMVA Summary'!I$54:I$74)+SUM('1.  LRAMVA Summary'!I$75:I$76)*(MONTH($E126)-1)/12)*$H126</f>
        <v>0</v>
      </c>
      <c r="O126" s="230">
        <f>(SUM('1.  LRAMVA Summary'!J$54:J$74)+SUM('1.  LRAMVA Summary'!J$75:J$76)*(MONTH($E126)-1)/12)*$H126</f>
        <v>-19.122340115970008</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433.67711674484383</v>
      </c>
    </row>
    <row r="127" spans="2:23" s="9" customFormat="1" ht="14.5">
      <c r="B127" s="66"/>
      <c r="E127" s="214">
        <v>43313</v>
      </c>
      <c r="F127" s="214" t="s">
        <v>185</v>
      </c>
      <c r="G127" s="215" t="s">
        <v>68</v>
      </c>
      <c r="H127" s="240">
        <f t="shared" si="65" ref="H127:H128">$C$45/12</f>
        <v>0.001575</v>
      </c>
      <c r="I127" s="230">
        <f>(SUM('1.  LRAMVA Summary'!D$54:D$74)+SUM('1.  LRAMVA Summary'!D$75:D$76)*(MONTH($E127)-1)/12)*$H127</f>
        <v>229.62986042002748</v>
      </c>
      <c r="J127" s="230">
        <f>(SUM('1.  LRAMVA Summary'!E$54:E$74)+SUM('1.  LRAMVA Summary'!E$75:E$76)*(MONTH($E127)-1)/12)*$H127</f>
        <v>146.90903234849654</v>
      </c>
      <c r="K127" s="230">
        <f>(SUM('1.  LRAMVA Summary'!F$54:F$74)+SUM('1.  LRAMVA Summary'!F$75:F$76)*(MONTH($E127)-1)/12)*$H127</f>
        <v>50.015312069951769</v>
      </c>
      <c r="L127" s="230">
        <f>(SUM('1.  LRAMVA Summary'!G$54:G$74)+SUM('1.  LRAMVA Summary'!G$75:G$76)*(MONTH($E127)-1)/12)*$H127</f>
        <v>39.008503158747743</v>
      </c>
      <c r="M127" s="230">
        <f>(SUM('1.  LRAMVA Summary'!H$54:H$74)+SUM('1.  LRAMVA Summary'!H$75:H$76)*(MONTH($E127)-1)/12)*$H127</f>
        <v>0</v>
      </c>
      <c r="N127" s="230">
        <f>(SUM('1.  LRAMVA Summary'!I$54:I$74)+SUM('1.  LRAMVA Summary'!I$75:I$76)*(MONTH($E127)-1)/12)*$H127</f>
        <v>0</v>
      </c>
      <c r="O127" s="230">
        <f>(SUM('1.  LRAMVA Summary'!J$54:J$74)+SUM('1.  LRAMVA Summary'!J$75:J$76)*(MONTH($E127)-1)/12)*$H127</f>
        <v>-19.040161455635044</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446.52254654158855</v>
      </c>
    </row>
    <row r="128" spans="2:23" s="9" customFormat="1" ht="14.5">
      <c r="B128" s="66"/>
      <c r="E128" s="214">
        <v>43344</v>
      </c>
      <c r="F128" s="214" t="s">
        <v>185</v>
      </c>
      <c r="G128" s="215" t="s">
        <v>68</v>
      </c>
      <c r="H128" s="240">
        <f t="shared" si="65"/>
        <v>0.001575</v>
      </c>
      <c r="I128" s="230">
        <f>(SUM('1.  LRAMVA Summary'!D$54:D$74)+SUM('1.  LRAMVA Summary'!D$75:D$76)*(MONTH($E128)-1)/12)*$H128</f>
        <v>235.17517425682649</v>
      </c>
      <c r="J128" s="230">
        <f>(SUM('1.  LRAMVA Summary'!E$54:E$74)+SUM('1.  LRAMVA Summary'!E$75:E$76)*(MONTH($E128)-1)/12)*$H128</f>
        <v>151.38720613563305</v>
      </c>
      <c r="K128" s="230">
        <f>(SUM('1.  LRAMVA Summary'!F$54:F$74)+SUM('1.  LRAMVA Summary'!F$75:F$76)*(MONTH($E128)-1)/12)*$H128</f>
        <v>51.527308045260497</v>
      </c>
      <c r="L128" s="230">
        <f>(SUM('1.  LRAMVA Summary'!G$54:G$74)+SUM('1.  LRAMVA Summary'!G$75:G$76)*(MONTH($E128)-1)/12)*$H128</f>
        <v>40.236270695913134</v>
      </c>
      <c r="M128" s="230">
        <f>(SUM('1.  LRAMVA Summary'!H$54:H$74)+SUM('1.  LRAMVA Summary'!H$75:H$76)*(MONTH($E128)-1)/12)*$H128</f>
        <v>0</v>
      </c>
      <c r="N128" s="230">
        <f>(SUM('1.  LRAMVA Summary'!I$54:I$74)+SUM('1.  LRAMVA Summary'!I$75:I$76)*(MONTH($E128)-1)/12)*$H128</f>
        <v>0</v>
      </c>
      <c r="O128" s="230">
        <f>(SUM('1.  LRAMVA Summary'!J$54:J$74)+SUM('1.  LRAMVA Summary'!J$75:J$76)*(MONTH($E128)-1)/12)*$H128</f>
        <v>-18.957982795300083</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459.36797633833311</v>
      </c>
    </row>
    <row r="129" spans="2:23" s="9" customFormat="1" ht="14.5">
      <c r="B129" s="66"/>
      <c r="E129" s="214">
        <v>43374</v>
      </c>
      <c r="F129" s="214" t="s">
        <v>185</v>
      </c>
      <c r="G129" s="215" t="s">
        <v>69</v>
      </c>
      <c r="H129" s="240">
        <f>$C$46/12</f>
        <v>0.0018083333333333335</v>
      </c>
      <c r="I129" s="230">
        <f>(SUM('1.  LRAMVA Summary'!D$54:D$74)+SUM('1.  LRAMVA Summary'!D$75:D$76)*(MONTH($E129)-1)/12)*$H129</f>
        <v>276.38278262601449</v>
      </c>
      <c r="J129" s="230">
        <f>(SUM('1.  LRAMVA Summary'!E$54:E$74)+SUM('1.  LRAMVA Summary'!E$75:E$76)*(MONTH($E129)-1)/12)*$H129</f>
        <v>178.95654731873543</v>
      </c>
      <c r="K129" s="230">
        <f>(SUM('1.  LRAMVA Summary'!F$54:F$74)+SUM('1.  LRAMVA Summary'!F$75:F$76)*(MONTH($E129)-1)/12)*$H129</f>
        <v>60.896978690283191</v>
      </c>
      <c r="L129" s="230">
        <f>(SUM('1.  LRAMVA Summary'!G$54:G$74)+SUM('1.  LRAMVA Summary'!G$75:G$76)*(MONTH($E129)-1)/12)*$H129</f>
        <v>47.606858712053132</v>
      </c>
      <c r="M129" s="230">
        <f>(SUM('1.  LRAMVA Summary'!H$54:H$74)+SUM('1.  LRAMVA Summary'!H$75:H$76)*(MONTH($E129)-1)/12)*$H129</f>
        <v>0</v>
      </c>
      <c r="N129" s="230">
        <f>(SUM('1.  LRAMVA Summary'!I$54:I$74)+SUM('1.  LRAMVA Summary'!I$75:I$76)*(MONTH($E129)-1)/12)*$H129</f>
        <v>0</v>
      </c>
      <c r="O129" s="230">
        <f>(SUM('1.  LRAMVA Summary'!J$54:J$74)+SUM('1.  LRAMVA Summary'!J$75:J$76)*(MONTH($E129)-1)/12)*$H129</f>
        <v>-21.672219562367367</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542.17094778471892</v>
      </c>
    </row>
    <row r="130" spans="2:23" s="9" customFormat="1" ht="14.5">
      <c r="B130" s="66"/>
      <c r="E130" s="214">
        <v>43405</v>
      </c>
      <c r="F130" s="214" t="s">
        <v>185</v>
      </c>
      <c r="G130" s="215" t="s">
        <v>69</v>
      </c>
      <c r="H130" s="240">
        <f t="shared" si="66" ref="H130:H131">$C$46/12</f>
        <v>0.0018083333333333335</v>
      </c>
      <c r="I130" s="230">
        <f>(SUM('1.  LRAMVA Summary'!D$54:D$74)+SUM('1.  LRAMVA Summary'!D$75:D$76)*(MONTH($E130)-1)/12)*$H130</f>
        <v>282.74962443863558</v>
      </c>
      <c r="J130" s="230">
        <f>(SUM('1.  LRAMVA Summary'!E$54:E$74)+SUM('1.  LRAMVA Summary'!E$75:E$76)*(MONTH($E130)-1)/12)*$H130</f>
        <v>184.09815425952178</v>
      </c>
      <c r="K130" s="230">
        <f>(SUM('1.  LRAMVA Summary'!F$54:F$74)+SUM('1.  LRAMVA Summary'!F$75:F$76)*(MONTH($E130)-1)/12)*$H130</f>
        <v>62.632974069341373</v>
      </c>
      <c r="L130" s="230">
        <f>(SUM('1.  LRAMVA Summary'!G$54:G$74)+SUM('1.  LRAMVA Summary'!G$75:G$76)*(MONTH($E130)-1)/12)*$H130</f>
        <v>49.016517736205991</v>
      </c>
      <c r="M130" s="230">
        <f>(SUM('1.  LRAMVA Summary'!H$54:H$74)+SUM('1.  LRAMVA Summary'!H$75:H$76)*(MONTH($E130)-1)/12)*$H130</f>
        <v>0</v>
      </c>
      <c r="N130" s="230">
        <f>(SUM('1.  LRAMVA Summary'!I$54:I$74)+SUM('1.  LRAMVA Summary'!I$75:I$76)*(MONTH($E130)-1)/12)*$H130</f>
        <v>0</v>
      </c>
      <c r="O130" s="230">
        <f>(SUM('1.  LRAMVA Summary'!J$54:J$74)+SUM('1.  LRAMVA Summary'!J$75:J$76)*(MONTH($E130)-1)/12)*$H130</f>
        <v>-21.577866285686486</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556.91940421801826</v>
      </c>
    </row>
    <row r="131" spans="2:23" s="9" customFormat="1" ht="14.5">
      <c r="B131" s="66"/>
      <c r="E131" s="214">
        <v>43435</v>
      </c>
      <c r="F131" s="214" t="s">
        <v>185</v>
      </c>
      <c r="G131" s="215" t="s">
        <v>69</v>
      </c>
      <c r="H131" s="240">
        <f t="shared" si="66"/>
        <v>0.0018083333333333335</v>
      </c>
      <c r="I131" s="230">
        <f>(SUM('1.  LRAMVA Summary'!D$54:D$74)+SUM('1.  LRAMVA Summary'!D$75:D$76)*(MONTH($E131)-1)/12)*$H131</f>
        <v>289.11646625125661</v>
      </c>
      <c r="J131" s="230">
        <f>(SUM('1.  LRAMVA Summary'!E$54:E$74)+SUM('1.  LRAMVA Summary'!E$75:E$76)*(MONTH($E131)-1)/12)*$H131</f>
        <v>189.23976120030815</v>
      </c>
      <c r="K131" s="230">
        <f>(SUM('1.  LRAMVA Summary'!F$54:F$74)+SUM('1.  LRAMVA Summary'!F$75:F$76)*(MONTH($E131)-1)/12)*$H131</f>
        <v>64.368969448399554</v>
      </c>
      <c r="L131" s="230">
        <f>(SUM('1.  LRAMVA Summary'!G$54:G$74)+SUM('1.  LRAMVA Summary'!G$75:G$76)*(MONTH($E131)-1)/12)*$H131</f>
        <v>50.42617676035885</v>
      </c>
      <c r="M131" s="230">
        <f>(SUM('1.  LRAMVA Summary'!H$54:H$74)+SUM('1.  LRAMVA Summary'!H$75:H$76)*(MONTH($E131)-1)/12)*$H131</f>
        <v>0</v>
      </c>
      <c r="N131" s="230">
        <f>(SUM('1.  LRAMVA Summary'!I$54:I$74)+SUM('1.  LRAMVA Summary'!I$75:I$76)*(MONTH($E131)-1)/12)*$H131</f>
        <v>0</v>
      </c>
      <c r="O131" s="230">
        <f>(SUM('1.  LRAMVA Summary'!J$54:J$74)+SUM('1.  LRAMVA Summary'!J$75:J$76)*(MONTH($E131)-1)/12)*$H131</f>
        <v>-21.483513009005605</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571.6678606513176</v>
      </c>
    </row>
    <row r="132" spans="2:23" s="9" customFormat="1" ht="15" thickBot="1">
      <c r="B132" s="66"/>
      <c r="E132" s="216" t="s">
        <v>467</v>
      </c>
      <c r="F132" s="216"/>
      <c r="G132" s="217"/>
      <c r="H132" s="218"/>
      <c r="I132" s="219">
        <f>SUM(I119:I131)</f>
        <v>4069.4428281242131</v>
      </c>
      <c r="J132" s="219">
        <f>SUM(J119:J131)</f>
        <v>2872.3090916624051</v>
      </c>
      <c r="K132" s="219">
        <f t="shared" si="67" ref="K132:O132">SUM(K119:K131)</f>
        <v>1164.1383917401599</v>
      </c>
      <c r="L132" s="219">
        <f t="shared" si="67"/>
        <v>861.63207615411409</v>
      </c>
      <c r="M132" s="219">
        <f t="shared" si="67"/>
        <v>0</v>
      </c>
      <c r="N132" s="219">
        <f t="shared" si="67"/>
        <v>0</v>
      </c>
      <c r="O132" s="219">
        <f t="shared" si="67"/>
        <v>-423.42815329861332</v>
      </c>
      <c r="P132" s="219">
        <f t="shared" si="68" ref="P132:V132">SUM(P119:P131)</f>
        <v>0</v>
      </c>
      <c r="Q132" s="219">
        <f t="shared" si="68"/>
        <v>0</v>
      </c>
      <c r="R132" s="219">
        <f t="shared" si="68"/>
        <v>0</v>
      </c>
      <c r="S132" s="219">
        <f t="shared" si="68"/>
        <v>0</v>
      </c>
      <c r="T132" s="219">
        <f t="shared" si="68"/>
        <v>0</v>
      </c>
      <c r="U132" s="219">
        <f t="shared" si="68"/>
        <v>0</v>
      </c>
      <c r="V132" s="219">
        <f t="shared" si="68"/>
        <v>0</v>
      </c>
      <c r="W132" s="219">
        <f>SUM(W119:W131)</f>
        <v>8544.0942343822808</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ht="14.5">
      <c r="B134" s="66"/>
      <c r="E134" s="225" t="s">
        <v>431</v>
      </c>
      <c r="F134" s="225"/>
      <c r="G134" s="226"/>
      <c r="H134" s="227"/>
      <c r="I134" s="228">
        <f>I132+I133</f>
        <v>4069.4428281242131</v>
      </c>
      <c r="J134" s="228">
        <f t="shared" si="69" ref="J134">J132+J133</f>
        <v>2872.3090916624051</v>
      </c>
      <c r="K134" s="228">
        <f t="shared" si="70" ref="K134">K132+K133</f>
        <v>1164.1383917401599</v>
      </c>
      <c r="L134" s="228">
        <f t="shared" si="71" ref="L134">L132+L133</f>
        <v>861.63207615411409</v>
      </c>
      <c r="M134" s="228">
        <f t="shared" si="72" ref="M134">M132+M133</f>
        <v>0</v>
      </c>
      <c r="N134" s="228">
        <f t="shared" si="73" ref="N134">N132+N133</f>
        <v>0</v>
      </c>
      <c r="O134" s="228">
        <f t="shared" si="74" ref="O134:V134">O132+O133</f>
        <v>-423.42815329861332</v>
      </c>
      <c r="P134" s="228">
        <f t="shared" si="74"/>
        <v>0</v>
      </c>
      <c r="Q134" s="228">
        <f t="shared" si="74"/>
        <v>0</v>
      </c>
      <c r="R134" s="228">
        <f t="shared" si="74"/>
        <v>0</v>
      </c>
      <c r="S134" s="228">
        <f t="shared" si="74"/>
        <v>0</v>
      </c>
      <c r="T134" s="228">
        <f t="shared" si="74"/>
        <v>0</v>
      </c>
      <c r="U134" s="228">
        <f t="shared" si="74"/>
        <v>0</v>
      </c>
      <c r="V134" s="228">
        <f t="shared" si="74"/>
        <v>0</v>
      </c>
      <c r="W134" s="228">
        <f>W132+W133</f>
        <v>8544.0942343822808</v>
      </c>
    </row>
    <row r="135" spans="2:23" s="9" customFormat="1" ht="14.5">
      <c r="B135" s="66"/>
      <c r="E135" s="214">
        <v>43466</v>
      </c>
      <c r="F135" s="214" t="s">
        <v>186</v>
      </c>
      <c r="G135" s="215" t="s">
        <v>65</v>
      </c>
      <c r="H135" s="240">
        <f>$C$47/12</f>
        <v>0.0020416666666666669</v>
      </c>
      <c r="I135" s="230">
        <f>(SUM('1.  LRAMVA Summary'!D$54:D$77)+SUM('1.  LRAMVA Summary'!D$78:D$79)*(MONTH($E135)-1)/12)*$H135</f>
        <v>333.61018652373286</v>
      </c>
      <c r="J135" s="230">
        <f>(SUM('1.  LRAMVA Summary'!E$54:E$77)+SUM('1.  LRAMVA Summary'!E$78:E$79)*(MONTH($E135)-1)/12)*$H135</f>
        <v>219.46283499800995</v>
      </c>
      <c r="K135" s="230">
        <f>(SUM('1.  LRAMVA Summary'!F$54:F$77)+SUM('1.  LRAMVA Summary'!F$78:F$79)*(MONTH($E135)-1)/12)*$H135</f>
        <v>74.634637708420001</v>
      </c>
      <c r="L135" s="230">
        <f>(SUM('1.  LRAMVA Summary'!G$54:G$77)+SUM('1.  LRAMVA Summary'!G$78:G$79)*(MONTH($E135)-1)/12)*$H135</f>
        <v>58.524330724448696</v>
      </c>
      <c r="M135" s="230">
        <f>(SUM('1.  LRAMVA Summary'!H$54:H$77)+SUM('1.  LRAMVA Summary'!H$78:H$79)*(MONTH($E135)-1)/12)*$H135</f>
        <v>0</v>
      </c>
      <c r="N135" s="230">
        <f>(SUM('1.  LRAMVA Summary'!I$54:I$77)+SUM('1.  LRAMVA Summary'!I$78:I$79)*(MONTH($E135)-1)/12)*$H135</f>
        <v>0</v>
      </c>
      <c r="O135" s="230">
        <f>(SUM('1.  LRAMVA Summary'!J$54:J$77)+SUM('1.  LRAMVA Summary'!J$78:J$79)*(MONTH($E135)-1)/12)*$H135</f>
        <v>-24.14905131068921</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662.08293864392226</v>
      </c>
    </row>
    <row r="136" spans="2:23" s="9" customFormat="1" ht="14.5">
      <c r="B136" s="66"/>
      <c r="E136" s="214">
        <v>43497</v>
      </c>
      <c r="F136" s="214" t="s">
        <v>186</v>
      </c>
      <c r="G136" s="215" t="s">
        <v>65</v>
      </c>
      <c r="H136" s="240">
        <f t="shared" si="75" ref="H136:H137">$C$47/12</f>
        <v>0.0020416666666666669</v>
      </c>
      <c r="I136" s="230">
        <f>(SUM('1.  LRAMVA Summary'!D$54:D$77)+SUM('1.  LRAMVA Summary'!D$78:D$79)*(MONTH($E136)-1)/12)*$H136</f>
        <v>333.61018652373286</v>
      </c>
      <c r="J136" s="230">
        <f>(SUM('1.  LRAMVA Summary'!E$54:E$77)+SUM('1.  LRAMVA Summary'!E$78:E$79)*(MONTH($E136)-1)/12)*$H136</f>
        <v>219.46283499800995</v>
      </c>
      <c r="K136" s="230">
        <f>(SUM('1.  LRAMVA Summary'!F$54:F$77)+SUM('1.  LRAMVA Summary'!F$78:F$79)*(MONTH($E136)-1)/12)*$H136</f>
        <v>74.634637708420001</v>
      </c>
      <c r="L136" s="230">
        <f>(SUM('1.  LRAMVA Summary'!G$54:G$77)+SUM('1.  LRAMVA Summary'!G$78:G$79)*(MONTH($E136)-1)/12)*$H136</f>
        <v>58.524330724448696</v>
      </c>
      <c r="M136" s="230">
        <f>(SUM('1.  LRAMVA Summary'!H$54:H$77)+SUM('1.  LRAMVA Summary'!H$78:H$79)*(MONTH($E136)-1)/12)*$H136</f>
        <v>0</v>
      </c>
      <c r="N136" s="230">
        <f>(SUM('1.  LRAMVA Summary'!I$54:I$77)+SUM('1.  LRAMVA Summary'!I$78:I$79)*(MONTH($E136)-1)/12)*$H136</f>
        <v>0</v>
      </c>
      <c r="O136" s="230">
        <f>(SUM('1.  LRAMVA Summary'!J$54:J$77)+SUM('1.  LRAMVA Summary'!J$78:J$79)*(MONTH($E136)-1)/12)*$H136</f>
        <v>-24.14905131068921</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si="76" ref="W136:W146">SUM(I136:V136)</f>
        <v>662.08293864392226</v>
      </c>
    </row>
    <row r="137" spans="2:23" s="9" customFormat="1" ht="14.5">
      <c r="B137" s="66"/>
      <c r="E137" s="214">
        <v>43525</v>
      </c>
      <c r="F137" s="214" t="s">
        <v>186</v>
      </c>
      <c r="G137" s="215" t="s">
        <v>65</v>
      </c>
      <c r="H137" s="240">
        <f t="shared" si="75"/>
        <v>0.0020416666666666669</v>
      </c>
      <c r="I137" s="230">
        <f>(SUM('1.  LRAMVA Summary'!D$54:D$77)+SUM('1.  LRAMVA Summary'!D$78:D$79)*(MONTH($E137)-1)/12)*$H137</f>
        <v>333.61018652373286</v>
      </c>
      <c r="J137" s="230">
        <f>(SUM('1.  LRAMVA Summary'!E$54:E$77)+SUM('1.  LRAMVA Summary'!E$78:E$79)*(MONTH($E137)-1)/12)*$H137</f>
        <v>219.46283499800995</v>
      </c>
      <c r="K137" s="230">
        <f>(SUM('1.  LRAMVA Summary'!F$54:F$77)+SUM('1.  LRAMVA Summary'!F$78:F$79)*(MONTH($E137)-1)/12)*$H137</f>
        <v>74.634637708420001</v>
      </c>
      <c r="L137" s="230">
        <f>(SUM('1.  LRAMVA Summary'!G$54:G$77)+SUM('1.  LRAMVA Summary'!G$78:G$79)*(MONTH($E137)-1)/12)*$H137</f>
        <v>58.524330724448696</v>
      </c>
      <c r="M137" s="230">
        <f>(SUM('1.  LRAMVA Summary'!H$54:H$77)+SUM('1.  LRAMVA Summary'!H$78:H$79)*(MONTH($E137)-1)/12)*$H137</f>
        <v>0</v>
      </c>
      <c r="N137" s="230">
        <f>(SUM('1.  LRAMVA Summary'!I$54:I$77)+SUM('1.  LRAMVA Summary'!I$78:I$79)*(MONTH($E137)-1)/12)*$H137</f>
        <v>0</v>
      </c>
      <c r="O137" s="230">
        <f>(SUM('1.  LRAMVA Summary'!J$54:J$77)+SUM('1.  LRAMVA Summary'!J$78:J$79)*(MONTH($E137)-1)/12)*$H137</f>
        <v>-24.14905131068921</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662.08293864392226</v>
      </c>
    </row>
    <row r="138" spans="2:23" s="8" customFormat="1" ht="14.5">
      <c r="B138" s="239"/>
      <c r="E138" s="214">
        <v>43556</v>
      </c>
      <c r="F138" s="214" t="s">
        <v>186</v>
      </c>
      <c r="G138" s="215" t="s">
        <v>66</v>
      </c>
      <c r="H138" s="240">
        <f>$C$48/12</f>
        <v>0.0018166666666666667</v>
      </c>
      <c r="I138" s="230">
        <f>(SUM('1.  LRAMVA Summary'!D$54:D$77)+SUM('1.  LRAMVA Summary'!D$78:D$79)*(MONTH($E138)-1)/12)*$H138</f>
        <v>296.84498229458677</v>
      </c>
      <c r="J138" s="230">
        <f>(SUM('1.  LRAMVA Summary'!E$54:E$77)+SUM('1.  LRAMVA Summary'!E$78:E$79)*(MONTH($E138)-1)/12)*$H138</f>
        <v>195.27713481455578</v>
      </c>
      <c r="K138" s="230">
        <f>(SUM('1.  LRAMVA Summary'!F$54:F$77)+SUM('1.  LRAMVA Summary'!F$78:F$79)*(MONTH($E138)-1)/12)*$H138</f>
        <v>66.409596001777786</v>
      </c>
      <c r="L138" s="230">
        <f>(SUM('1.  LRAMVA Summary'!G$54:G$77)+SUM('1.  LRAMVA Summary'!G$78:G$79)*(MONTH($E138)-1)/12)*$H138</f>
        <v>52.074710603795161</v>
      </c>
      <c r="M138" s="230">
        <f>(SUM('1.  LRAMVA Summary'!H$54:H$77)+SUM('1.  LRAMVA Summary'!H$78:H$79)*(MONTH($E138)-1)/12)*$H138</f>
        <v>0</v>
      </c>
      <c r="N138" s="230">
        <f>(SUM('1.  LRAMVA Summary'!I$54:I$77)+SUM('1.  LRAMVA Summary'!I$78:I$79)*(MONTH($E138)-1)/12)*$H138</f>
        <v>0</v>
      </c>
      <c r="O138" s="230">
        <f>(SUM('1.  LRAMVA Summary'!J$54:J$77)+SUM('1.  LRAMVA Summary'!J$78:J$79)*(MONTH($E138)-1)/12)*$H138</f>
        <v>-21.487727288694884</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589.11869642602073</v>
      </c>
    </row>
    <row r="139" spans="2:23" s="9" customFormat="1" ht="14.5">
      <c r="B139" s="66"/>
      <c r="E139" s="214">
        <v>43586</v>
      </c>
      <c r="F139" s="214" t="s">
        <v>186</v>
      </c>
      <c r="G139" s="215" t="s">
        <v>66</v>
      </c>
      <c r="H139" s="240">
        <f>$C$48/12</f>
        <v>0.0018166666666666667</v>
      </c>
      <c r="I139" s="230">
        <f>(SUM('1.  LRAMVA Summary'!D$54:D$77)+SUM('1.  LRAMVA Summary'!D$78:D$79)*(MONTH($E139)-1)/12)*$H139</f>
        <v>296.84498229458677</v>
      </c>
      <c r="J139" s="230">
        <f>(SUM('1.  LRAMVA Summary'!E$54:E$77)+SUM('1.  LRAMVA Summary'!E$78:E$79)*(MONTH($E139)-1)/12)*$H139</f>
        <v>195.27713481455578</v>
      </c>
      <c r="K139" s="230">
        <f>(SUM('1.  LRAMVA Summary'!F$54:F$77)+SUM('1.  LRAMVA Summary'!F$78:F$79)*(MONTH($E139)-1)/12)*$H139</f>
        <v>66.409596001777786</v>
      </c>
      <c r="L139" s="230">
        <f>(SUM('1.  LRAMVA Summary'!G$54:G$77)+SUM('1.  LRAMVA Summary'!G$78:G$79)*(MONTH($E139)-1)/12)*$H139</f>
        <v>52.074710603795161</v>
      </c>
      <c r="M139" s="230">
        <f>(SUM('1.  LRAMVA Summary'!H$54:H$77)+SUM('1.  LRAMVA Summary'!H$78:H$79)*(MONTH($E139)-1)/12)*$H139</f>
        <v>0</v>
      </c>
      <c r="N139" s="230">
        <f>(SUM('1.  LRAMVA Summary'!I$54:I$77)+SUM('1.  LRAMVA Summary'!I$78:I$79)*(MONTH($E139)-1)/12)*$H139</f>
        <v>0</v>
      </c>
      <c r="O139" s="230">
        <f>(SUM('1.  LRAMVA Summary'!J$54:J$77)+SUM('1.  LRAMVA Summary'!J$78:J$79)*(MONTH($E139)-1)/12)*$H139</f>
        <v>-21.487727288694884</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589.11869642602073</v>
      </c>
    </row>
    <row r="140" spans="2:23" s="9" customFormat="1" ht="14.5">
      <c r="B140" s="66"/>
      <c r="E140" s="214">
        <v>43617</v>
      </c>
      <c r="F140" s="214" t="s">
        <v>186</v>
      </c>
      <c r="G140" s="215" t="s">
        <v>66</v>
      </c>
      <c r="H140" s="240">
        <f t="shared" si="77" ref="H140">$C$48/12</f>
        <v>0.0018166666666666667</v>
      </c>
      <c r="I140" s="230">
        <f>(SUM('1.  LRAMVA Summary'!D$54:D$77)+SUM('1.  LRAMVA Summary'!D$78:D$79)*(MONTH($E140)-1)/12)*$H140</f>
        <v>296.84498229458677</v>
      </c>
      <c r="J140" s="230">
        <f>(SUM('1.  LRAMVA Summary'!E$54:E$77)+SUM('1.  LRAMVA Summary'!E$78:E$79)*(MONTH($E140)-1)/12)*$H140</f>
        <v>195.27713481455578</v>
      </c>
      <c r="K140" s="230">
        <f>(SUM('1.  LRAMVA Summary'!F$54:F$77)+SUM('1.  LRAMVA Summary'!F$78:F$79)*(MONTH($E140)-1)/12)*$H140</f>
        <v>66.409596001777786</v>
      </c>
      <c r="L140" s="230">
        <f>(SUM('1.  LRAMVA Summary'!G$54:G$77)+SUM('1.  LRAMVA Summary'!G$78:G$79)*(MONTH($E140)-1)/12)*$H140</f>
        <v>52.074710603795161</v>
      </c>
      <c r="M140" s="230">
        <f>(SUM('1.  LRAMVA Summary'!H$54:H$77)+SUM('1.  LRAMVA Summary'!H$78:H$79)*(MONTH($E140)-1)/12)*$H140</f>
        <v>0</v>
      </c>
      <c r="N140" s="230">
        <f>(SUM('1.  LRAMVA Summary'!I$54:I$77)+SUM('1.  LRAMVA Summary'!I$78:I$79)*(MONTH($E140)-1)/12)*$H140</f>
        <v>0</v>
      </c>
      <c r="O140" s="230">
        <f>(SUM('1.  LRAMVA Summary'!J$54:J$77)+SUM('1.  LRAMVA Summary'!J$78:J$79)*(MONTH($E140)-1)/12)*$H140</f>
        <v>-21.487727288694884</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589.11869642602073</v>
      </c>
    </row>
    <row r="141" spans="2:23" s="9" customFormat="1" ht="14.5">
      <c r="B141" s="66"/>
      <c r="E141" s="214">
        <v>43647</v>
      </c>
      <c r="F141" s="214" t="s">
        <v>186</v>
      </c>
      <c r="G141" s="215" t="s">
        <v>68</v>
      </c>
      <c r="H141" s="240">
        <f>$C$49/12</f>
        <v>0.0018166666666666667</v>
      </c>
      <c r="I141" s="230">
        <f>(SUM('1.  LRAMVA Summary'!D$54:D$77)+SUM('1.  LRAMVA Summary'!D$78:D$79)*(MONTH($E141)-1)/12)*$H141</f>
        <v>296.84498229458677</v>
      </c>
      <c r="J141" s="230">
        <f>(SUM('1.  LRAMVA Summary'!E$54:E$77)+SUM('1.  LRAMVA Summary'!E$78:E$79)*(MONTH($E141)-1)/12)*$H141</f>
        <v>195.27713481455578</v>
      </c>
      <c r="K141" s="230">
        <f>(SUM('1.  LRAMVA Summary'!F$54:F$77)+SUM('1.  LRAMVA Summary'!F$78:F$79)*(MONTH($E141)-1)/12)*$H141</f>
        <v>66.409596001777786</v>
      </c>
      <c r="L141" s="230">
        <f>(SUM('1.  LRAMVA Summary'!G$54:G$77)+SUM('1.  LRAMVA Summary'!G$78:G$79)*(MONTH($E141)-1)/12)*$H141</f>
        <v>52.074710603795161</v>
      </c>
      <c r="M141" s="230">
        <f>(SUM('1.  LRAMVA Summary'!H$54:H$77)+SUM('1.  LRAMVA Summary'!H$78:H$79)*(MONTH($E141)-1)/12)*$H141</f>
        <v>0</v>
      </c>
      <c r="N141" s="230">
        <f>(SUM('1.  LRAMVA Summary'!I$54:I$77)+SUM('1.  LRAMVA Summary'!I$78:I$79)*(MONTH($E141)-1)/12)*$H141</f>
        <v>0</v>
      </c>
      <c r="O141" s="230">
        <f>(SUM('1.  LRAMVA Summary'!J$54:J$77)+SUM('1.  LRAMVA Summary'!J$78:J$79)*(MONTH($E141)-1)/12)*$H141</f>
        <v>-21.487727288694884</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589.11869642602073</v>
      </c>
    </row>
    <row r="142" spans="2:23" s="9" customFormat="1" ht="14.5">
      <c r="B142" s="66"/>
      <c r="E142" s="214">
        <v>43678</v>
      </c>
      <c r="F142" s="214" t="s">
        <v>186</v>
      </c>
      <c r="G142" s="215" t="s">
        <v>68</v>
      </c>
      <c r="H142" s="240">
        <f t="shared" si="78" ref="H142">$C$49/12</f>
        <v>0.0018166666666666667</v>
      </c>
      <c r="I142" s="230">
        <f>(SUM('1.  LRAMVA Summary'!D$54:D$77)+SUM('1.  LRAMVA Summary'!D$78:D$79)*(MONTH($E142)-1)/12)*$H142</f>
        <v>296.84498229458677</v>
      </c>
      <c r="J142" s="230">
        <f>(SUM('1.  LRAMVA Summary'!E$54:E$77)+SUM('1.  LRAMVA Summary'!E$78:E$79)*(MONTH($E142)-1)/12)*$H142</f>
        <v>195.27713481455578</v>
      </c>
      <c r="K142" s="230">
        <f>(SUM('1.  LRAMVA Summary'!F$54:F$77)+SUM('1.  LRAMVA Summary'!F$78:F$79)*(MONTH($E142)-1)/12)*$H142</f>
        <v>66.409596001777786</v>
      </c>
      <c r="L142" s="230">
        <f>(SUM('1.  LRAMVA Summary'!G$54:G$77)+SUM('1.  LRAMVA Summary'!G$78:G$79)*(MONTH($E142)-1)/12)*$H142</f>
        <v>52.074710603795161</v>
      </c>
      <c r="M142" s="230">
        <f>(SUM('1.  LRAMVA Summary'!H$54:H$77)+SUM('1.  LRAMVA Summary'!H$78:H$79)*(MONTH($E142)-1)/12)*$H142</f>
        <v>0</v>
      </c>
      <c r="N142" s="230">
        <f>(SUM('1.  LRAMVA Summary'!I$54:I$77)+SUM('1.  LRAMVA Summary'!I$78:I$79)*(MONTH($E142)-1)/12)*$H142</f>
        <v>0</v>
      </c>
      <c r="O142" s="230">
        <f>(SUM('1.  LRAMVA Summary'!J$54:J$77)+SUM('1.  LRAMVA Summary'!J$78:J$79)*(MONTH($E142)-1)/12)*$H142</f>
        <v>-21.487727288694884</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589.11869642602073</v>
      </c>
    </row>
    <row r="143" spans="2:23" s="9" customFormat="1" ht="14.5">
      <c r="B143" s="66"/>
      <c r="E143" s="214">
        <v>43709</v>
      </c>
      <c r="F143" s="214" t="s">
        <v>186</v>
      </c>
      <c r="G143" s="215" t="s">
        <v>68</v>
      </c>
      <c r="H143" s="240">
        <f>$C$49/12</f>
        <v>0.0018166666666666667</v>
      </c>
      <c r="I143" s="230">
        <f>(SUM('1.  LRAMVA Summary'!D$54:D$77)+SUM('1.  LRAMVA Summary'!D$78:D$79)*(MONTH($E143)-1)/12)*$H143</f>
        <v>296.84498229458677</v>
      </c>
      <c r="J143" s="230">
        <f>(SUM('1.  LRAMVA Summary'!E$54:E$77)+SUM('1.  LRAMVA Summary'!E$78:E$79)*(MONTH($E143)-1)/12)*$H143</f>
        <v>195.27713481455578</v>
      </c>
      <c r="K143" s="230">
        <f>(SUM('1.  LRAMVA Summary'!F$54:F$77)+SUM('1.  LRAMVA Summary'!F$78:F$79)*(MONTH($E143)-1)/12)*$H143</f>
        <v>66.409596001777786</v>
      </c>
      <c r="L143" s="230">
        <f>(SUM('1.  LRAMVA Summary'!G$54:G$77)+SUM('1.  LRAMVA Summary'!G$78:G$79)*(MONTH($E143)-1)/12)*$H143</f>
        <v>52.074710603795161</v>
      </c>
      <c r="M143" s="230">
        <f>(SUM('1.  LRAMVA Summary'!H$54:H$77)+SUM('1.  LRAMVA Summary'!H$78:H$79)*(MONTH($E143)-1)/12)*$H143</f>
        <v>0</v>
      </c>
      <c r="N143" s="230">
        <f>(SUM('1.  LRAMVA Summary'!I$54:I$77)+SUM('1.  LRAMVA Summary'!I$78:I$79)*(MONTH($E143)-1)/12)*$H143</f>
        <v>0</v>
      </c>
      <c r="O143" s="230">
        <f>(SUM('1.  LRAMVA Summary'!J$54:J$77)+SUM('1.  LRAMVA Summary'!J$78:J$79)*(MONTH($E143)-1)/12)*$H143</f>
        <v>-21.487727288694884</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589.11869642602073</v>
      </c>
    </row>
    <row r="144" spans="2:23" s="9" customFormat="1" ht="14.5">
      <c r="B144" s="66"/>
      <c r="E144" s="214">
        <v>43739</v>
      </c>
      <c r="F144" s="214" t="s">
        <v>186</v>
      </c>
      <c r="G144" s="215" t="s">
        <v>69</v>
      </c>
      <c r="H144" s="240">
        <f>$C$50/12</f>
        <v>0.0018166666666666667</v>
      </c>
      <c r="I144" s="230">
        <f>(SUM('1.  LRAMVA Summary'!D$54:D$77)+SUM('1.  LRAMVA Summary'!D$78:D$79)*(MONTH($E144)-1)/12)*$H144</f>
        <v>296.84498229458677</v>
      </c>
      <c r="J144" s="230">
        <f>(SUM('1.  LRAMVA Summary'!E$54:E$77)+SUM('1.  LRAMVA Summary'!E$78:E$79)*(MONTH($E144)-1)/12)*$H144</f>
        <v>195.27713481455578</v>
      </c>
      <c r="K144" s="230">
        <f>(SUM('1.  LRAMVA Summary'!F$54:F$77)+SUM('1.  LRAMVA Summary'!F$78:F$79)*(MONTH($E144)-1)/12)*$H144</f>
        <v>66.409596001777786</v>
      </c>
      <c r="L144" s="230">
        <f>(SUM('1.  LRAMVA Summary'!G$54:G$77)+SUM('1.  LRAMVA Summary'!G$78:G$79)*(MONTH($E144)-1)/12)*$H144</f>
        <v>52.074710603795161</v>
      </c>
      <c r="M144" s="230">
        <f>(SUM('1.  LRAMVA Summary'!H$54:H$77)+SUM('1.  LRAMVA Summary'!H$78:H$79)*(MONTH($E144)-1)/12)*$H144</f>
        <v>0</v>
      </c>
      <c r="N144" s="230">
        <f>(SUM('1.  LRAMVA Summary'!I$54:I$77)+SUM('1.  LRAMVA Summary'!I$78:I$79)*(MONTH($E144)-1)/12)*$H144</f>
        <v>0</v>
      </c>
      <c r="O144" s="230">
        <f>(SUM('1.  LRAMVA Summary'!J$54:J$77)+SUM('1.  LRAMVA Summary'!J$78:J$79)*(MONTH($E144)-1)/12)*$H144</f>
        <v>-21.487727288694884</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589.11869642602073</v>
      </c>
    </row>
    <row r="145" spans="2:23" s="9" customFormat="1" ht="14.5">
      <c r="B145" s="66"/>
      <c r="E145" s="214">
        <v>43770</v>
      </c>
      <c r="F145" s="214" t="s">
        <v>186</v>
      </c>
      <c r="G145" s="215" t="s">
        <v>69</v>
      </c>
      <c r="H145" s="240">
        <f t="shared" si="79" ref="H145:H146">$C$50/12</f>
        <v>0.0018166666666666667</v>
      </c>
      <c r="I145" s="230">
        <f>(SUM('1.  LRAMVA Summary'!D$54:D$77)+SUM('1.  LRAMVA Summary'!D$78:D$79)*(MONTH($E145)-1)/12)*$H145</f>
        <v>296.84498229458677</v>
      </c>
      <c r="J145" s="230">
        <f>(SUM('1.  LRAMVA Summary'!E$54:E$77)+SUM('1.  LRAMVA Summary'!E$78:E$79)*(MONTH($E145)-1)/12)*$H145</f>
        <v>195.27713481455578</v>
      </c>
      <c r="K145" s="230">
        <f>(SUM('1.  LRAMVA Summary'!F$54:F$77)+SUM('1.  LRAMVA Summary'!F$78:F$79)*(MONTH($E145)-1)/12)*$H145</f>
        <v>66.409596001777786</v>
      </c>
      <c r="L145" s="230">
        <f>(SUM('1.  LRAMVA Summary'!G$54:G$77)+SUM('1.  LRAMVA Summary'!G$78:G$79)*(MONTH($E145)-1)/12)*$H145</f>
        <v>52.074710603795161</v>
      </c>
      <c r="M145" s="230">
        <f>(SUM('1.  LRAMVA Summary'!H$54:H$77)+SUM('1.  LRAMVA Summary'!H$78:H$79)*(MONTH($E145)-1)/12)*$H145</f>
        <v>0</v>
      </c>
      <c r="N145" s="230">
        <f>(SUM('1.  LRAMVA Summary'!I$54:I$77)+SUM('1.  LRAMVA Summary'!I$78:I$79)*(MONTH($E145)-1)/12)*$H145</f>
        <v>0</v>
      </c>
      <c r="O145" s="230">
        <f>(SUM('1.  LRAMVA Summary'!J$54:J$77)+SUM('1.  LRAMVA Summary'!J$78:J$79)*(MONTH($E145)-1)/12)*$H145</f>
        <v>-21.487727288694884</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589.11869642602073</v>
      </c>
    </row>
    <row r="146" spans="2:23" s="9" customFormat="1" ht="14.5">
      <c r="B146" s="66"/>
      <c r="E146" s="214">
        <v>43800</v>
      </c>
      <c r="F146" s="214" t="s">
        <v>186</v>
      </c>
      <c r="G146" s="215" t="s">
        <v>69</v>
      </c>
      <c r="H146" s="240">
        <f t="shared" si="79"/>
        <v>0.0018166666666666667</v>
      </c>
      <c r="I146" s="230">
        <f>(SUM('1.  LRAMVA Summary'!D$54:D$77)+SUM('1.  LRAMVA Summary'!D$78:D$79)*(MONTH($E146)-1)/12)*$H146</f>
        <v>296.84498229458677</v>
      </c>
      <c r="J146" s="230">
        <f>(SUM('1.  LRAMVA Summary'!E$54:E$77)+SUM('1.  LRAMVA Summary'!E$78:E$79)*(MONTH($E146)-1)/12)*$H146</f>
        <v>195.27713481455578</v>
      </c>
      <c r="K146" s="230">
        <f>(SUM('1.  LRAMVA Summary'!F$54:F$77)+SUM('1.  LRAMVA Summary'!F$78:F$79)*(MONTH($E146)-1)/12)*$H146</f>
        <v>66.409596001777786</v>
      </c>
      <c r="L146" s="230">
        <f>(SUM('1.  LRAMVA Summary'!G$54:G$77)+SUM('1.  LRAMVA Summary'!G$78:G$79)*(MONTH($E146)-1)/12)*$H146</f>
        <v>52.074710603795161</v>
      </c>
      <c r="M146" s="230">
        <f>(SUM('1.  LRAMVA Summary'!H$54:H$77)+SUM('1.  LRAMVA Summary'!H$78:H$79)*(MONTH($E146)-1)/12)*$H146</f>
        <v>0</v>
      </c>
      <c r="N146" s="230">
        <f>(SUM('1.  LRAMVA Summary'!I$54:I$77)+SUM('1.  LRAMVA Summary'!I$78:I$79)*(MONTH($E146)-1)/12)*$H146</f>
        <v>0</v>
      </c>
      <c r="O146" s="230">
        <f>(SUM('1.  LRAMVA Summary'!J$54:J$77)+SUM('1.  LRAMVA Summary'!J$78:J$79)*(MONTH($E146)-1)/12)*$H146</f>
        <v>-21.487727288694884</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589.11869642602073</v>
      </c>
    </row>
    <row r="147" spans="2:23" s="9" customFormat="1" ht="15" thickBot="1">
      <c r="B147" s="66"/>
      <c r="E147" s="216" t="s">
        <v>468</v>
      </c>
      <c r="F147" s="216"/>
      <c r="G147" s="217"/>
      <c r="H147" s="218"/>
      <c r="I147" s="219">
        <f>SUM(I134:I146)</f>
        <v>7741.8782283466926</v>
      </c>
      <c r="J147" s="219">
        <f>SUM(J134:J146)</f>
        <v>5288.1918099874383</v>
      </c>
      <c r="K147" s="219">
        <f t="shared" si="80" ref="K147:O147">SUM(K134:K146)</f>
        <v>1985.7286688814204</v>
      </c>
      <c r="L147" s="219">
        <f t="shared" si="80"/>
        <v>1505.877463761617</v>
      </c>
      <c r="M147" s="219">
        <f t="shared" si="80"/>
        <v>0</v>
      </c>
      <c r="N147" s="219">
        <f t="shared" si="80"/>
        <v>0</v>
      </c>
      <c r="O147" s="219">
        <f t="shared" si="80"/>
        <v>-689.26485282893532</v>
      </c>
      <c r="P147" s="219">
        <f t="shared" si="81" ref="P147:V147">SUM(P134:P146)</f>
        <v>0</v>
      </c>
      <c r="Q147" s="219">
        <f t="shared" si="81"/>
        <v>0</v>
      </c>
      <c r="R147" s="219">
        <f t="shared" si="81"/>
        <v>0</v>
      </c>
      <c r="S147" s="219">
        <f t="shared" si="81"/>
        <v>0</v>
      </c>
      <c r="T147" s="219">
        <f t="shared" si="81"/>
        <v>0</v>
      </c>
      <c r="U147" s="219">
        <f t="shared" si="81"/>
        <v>0</v>
      </c>
      <c r="V147" s="219">
        <f t="shared" si="81"/>
        <v>0</v>
      </c>
      <c r="W147" s="219">
        <f>SUM(W134:W146)</f>
        <v>15832.411318148239</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ht="14.5">
      <c r="B149" s="66"/>
      <c r="E149" s="225" t="s">
        <v>432</v>
      </c>
      <c r="F149" s="225"/>
      <c r="G149" s="226"/>
      <c r="H149" s="227"/>
      <c r="I149" s="228">
        <f>I147+I148</f>
        <v>7741.8782283466926</v>
      </c>
      <c r="J149" s="228">
        <f t="shared" si="82" ref="J149">J147+J148</f>
        <v>5288.1918099874383</v>
      </c>
      <c r="K149" s="228">
        <f t="shared" si="83" ref="K149">K147+K148</f>
        <v>1985.7286688814204</v>
      </c>
      <c r="L149" s="228">
        <f t="shared" si="84" ref="L149">L147+L148</f>
        <v>1505.877463761617</v>
      </c>
      <c r="M149" s="228">
        <f t="shared" si="85" ref="M149">M147+M148</f>
        <v>0</v>
      </c>
      <c r="N149" s="228">
        <f t="shared" si="86" ref="N149">N147+N148</f>
        <v>0</v>
      </c>
      <c r="O149" s="228">
        <f t="shared" si="87" ref="O149:V149">O147+O148</f>
        <v>-689.26485282893532</v>
      </c>
      <c r="P149" s="228">
        <f t="shared" si="87"/>
        <v>0</v>
      </c>
      <c r="Q149" s="228">
        <f t="shared" si="87"/>
        <v>0</v>
      </c>
      <c r="R149" s="228">
        <f t="shared" si="87"/>
        <v>0</v>
      </c>
      <c r="S149" s="228">
        <f t="shared" si="87"/>
        <v>0</v>
      </c>
      <c r="T149" s="228">
        <f t="shared" si="87"/>
        <v>0</v>
      </c>
      <c r="U149" s="228">
        <f t="shared" si="87"/>
        <v>0</v>
      </c>
      <c r="V149" s="228">
        <f t="shared" si="87"/>
        <v>0</v>
      </c>
      <c r="W149" s="228">
        <f>W147+W148</f>
        <v>15832.411318148239</v>
      </c>
    </row>
    <row r="150" spans="2:23" s="9" customFormat="1" ht="14.5">
      <c r="B150" s="66"/>
      <c r="E150" s="214">
        <v>43831</v>
      </c>
      <c r="F150" s="214" t="s">
        <v>187</v>
      </c>
      <c r="G150" s="215" t="s">
        <v>65</v>
      </c>
      <c r="H150" s="240">
        <f>$C$51/12</f>
        <v>0.0018166666666666667</v>
      </c>
      <c r="I150" s="230">
        <f>(SUM('1.  LRAMVA Summary'!D$54:D$80)+SUM('1.  LRAMVA Summary'!D$81:D$82)*(MONTH($E150)-1)/12)*$H150</f>
        <v>296.84498229458677</v>
      </c>
      <c r="J150" s="230">
        <f>(SUM('1.  LRAMVA Summary'!E$54:E$80)+SUM('1.  LRAMVA Summary'!E$81:E$82)*(MONTH($E150)-1)/12)*$H150</f>
        <v>195.27713481455578</v>
      </c>
      <c r="K150" s="230">
        <f>(SUM('1.  LRAMVA Summary'!F$54:F$80)+SUM('1.  LRAMVA Summary'!F$81:F$82)*(MONTH($E150)-1)/12)*$H150</f>
        <v>66.409596001777786</v>
      </c>
      <c r="L150" s="230">
        <f>(SUM('1.  LRAMVA Summary'!G$54:G$80)+SUM('1.  LRAMVA Summary'!G$81:G$82)*(MONTH($E150)-1)/12)*$H150</f>
        <v>52.074710603795161</v>
      </c>
      <c r="M150" s="230">
        <f>(SUM('1.  LRAMVA Summary'!H$54:H$80)+SUM('1.  LRAMVA Summary'!H$81:H$82)*(MONTH($E150)-1)/12)*$H150</f>
        <v>0</v>
      </c>
      <c r="N150" s="230">
        <f>(SUM('1.  LRAMVA Summary'!I$54:I$80)+SUM('1.  LRAMVA Summary'!I$81:I$82)*(MONTH($E150)-1)/12)*$H150</f>
        <v>0</v>
      </c>
      <c r="O150" s="230">
        <f>(SUM('1.  LRAMVA Summary'!J$54:J$80)+SUM('1.  LRAMVA Summary'!J$81:J$82)*(MONTH($E150)-1)/12)*$H150</f>
        <v>-21.487727288694884</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589.11869642602073</v>
      </c>
    </row>
    <row r="151" spans="2:23" s="9" customFormat="1" ht="14.5">
      <c r="B151" s="66"/>
      <c r="E151" s="214">
        <v>43862</v>
      </c>
      <c r="F151" s="214" t="s">
        <v>187</v>
      </c>
      <c r="G151" s="215" t="s">
        <v>65</v>
      </c>
      <c r="H151" s="240">
        <f t="shared" si="88" ref="H151:H152">$C$51/12</f>
        <v>0.0018166666666666667</v>
      </c>
      <c r="I151" s="230">
        <f>(SUM('1.  LRAMVA Summary'!D$54:D$80)+SUM('1.  LRAMVA Summary'!D$81:D$82)*(MONTH($E151)-1)/12)*$H151</f>
        <v>296.84498229458677</v>
      </c>
      <c r="J151" s="230">
        <f>(SUM('1.  LRAMVA Summary'!E$54:E$80)+SUM('1.  LRAMVA Summary'!E$81:E$82)*(MONTH($E151)-1)/12)*$H151</f>
        <v>195.27713481455578</v>
      </c>
      <c r="K151" s="230">
        <f>(SUM('1.  LRAMVA Summary'!F$54:F$80)+SUM('1.  LRAMVA Summary'!F$81:F$82)*(MONTH($E151)-1)/12)*$H151</f>
        <v>66.409596001777786</v>
      </c>
      <c r="L151" s="230">
        <f>(SUM('1.  LRAMVA Summary'!G$54:G$80)+SUM('1.  LRAMVA Summary'!G$81:G$82)*(MONTH($E151)-1)/12)*$H151</f>
        <v>52.074710603795161</v>
      </c>
      <c r="M151" s="230">
        <f>(SUM('1.  LRAMVA Summary'!H$54:H$80)+SUM('1.  LRAMVA Summary'!H$81:H$82)*(MONTH($E151)-1)/12)*$H151</f>
        <v>0</v>
      </c>
      <c r="N151" s="230">
        <f>(SUM('1.  LRAMVA Summary'!I$54:I$80)+SUM('1.  LRAMVA Summary'!I$81:I$82)*(MONTH($E151)-1)/12)*$H151</f>
        <v>0</v>
      </c>
      <c r="O151" s="230">
        <f>(SUM('1.  LRAMVA Summary'!J$54:J$80)+SUM('1.  LRAMVA Summary'!J$81:J$82)*(MONTH($E151)-1)/12)*$H151</f>
        <v>-21.487727288694884</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si="89" ref="W151:W160">SUM(I151:V151)</f>
        <v>589.11869642602073</v>
      </c>
    </row>
    <row r="152" spans="2:23" s="9" customFormat="1" ht="14.5">
      <c r="B152" s="66"/>
      <c r="E152" s="214">
        <v>43891</v>
      </c>
      <c r="F152" s="214" t="s">
        <v>187</v>
      </c>
      <c r="G152" s="215" t="s">
        <v>65</v>
      </c>
      <c r="H152" s="240">
        <f t="shared" si="88"/>
        <v>0.0018166666666666667</v>
      </c>
      <c r="I152" s="230">
        <f>(SUM('1.  LRAMVA Summary'!D$54:D$80)+SUM('1.  LRAMVA Summary'!D$81:D$82)*(MONTH($E152)-1)/12)*$H152</f>
        <v>296.84498229458677</v>
      </c>
      <c r="J152" s="230">
        <f>(SUM('1.  LRAMVA Summary'!E$54:E$80)+SUM('1.  LRAMVA Summary'!E$81:E$82)*(MONTH($E152)-1)/12)*$H152</f>
        <v>195.27713481455578</v>
      </c>
      <c r="K152" s="230">
        <f>(SUM('1.  LRAMVA Summary'!F$54:F$80)+SUM('1.  LRAMVA Summary'!F$81:F$82)*(MONTH($E152)-1)/12)*$H152</f>
        <v>66.409596001777786</v>
      </c>
      <c r="L152" s="230">
        <f>(SUM('1.  LRAMVA Summary'!G$54:G$80)+SUM('1.  LRAMVA Summary'!G$81:G$82)*(MONTH($E152)-1)/12)*$H152</f>
        <v>52.074710603795161</v>
      </c>
      <c r="M152" s="230">
        <f>(SUM('1.  LRAMVA Summary'!H$54:H$80)+SUM('1.  LRAMVA Summary'!H$81:H$82)*(MONTH($E152)-1)/12)*$H152</f>
        <v>0</v>
      </c>
      <c r="N152" s="230">
        <f>(SUM('1.  LRAMVA Summary'!I$54:I$80)+SUM('1.  LRAMVA Summary'!I$81:I$82)*(MONTH($E152)-1)/12)*$H152</f>
        <v>0</v>
      </c>
      <c r="O152" s="230">
        <f>(SUM('1.  LRAMVA Summary'!J$54:J$80)+SUM('1.  LRAMVA Summary'!J$81:J$82)*(MONTH($E152)-1)/12)*$H152</f>
        <v>-21.487727288694884</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589.11869642602073</v>
      </c>
    </row>
    <row r="153" spans="2:23" s="9" customFormat="1" ht="14.5">
      <c r="B153" s="66"/>
      <c r="E153" s="214">
        <v>43922</v>
      </c>
      <c r="F153" s="214" t="s">
        <v>187</v>
      </c>
      <c r="G153" s="215" t="s">
        <v>66</v>
      </c>
      <c r="H153" s="240">
        <f>$C$52/12</f>
        <v>0.0018166666666666667</v>
      </c>
      <c r="I153" s="230">
        <f>(SUM('1.  LRAMVA Summary'!D$54:D$80)+SUM('1.  LRAMVA Summary'!D$81:D$82)*(MONTH($E153)-1)/12)*$H153</f>
        <v>296.84498229458677</v>
      </c>
      <c r="J153" s="230">
        <f>(SUM('1.  LRAMVA Summary'!E$54:E$80)+SUM('1.  LRAMVA Summary'!E$81:E$82)*(MONTH($E153)-1)/12)*$H153</f>
        <v>195.27713481455578</v>
      </c>
      <c r="K153" s="230">
        <f>(SUM('1.  LRAMVA Summary'!F$54:F$80)+SUM('1.  LRAMVA Summary'!F$81:F$82)*(MONTH($E153)-1)/12)*$H153</f>
        <v>66.409596001777786</v>
      </c>
      <c r="L153" s="230">
        <f>(SUM('1.  LRAMVA Summary'!G$54:G$80)+SUM('1.  LRAMVA Summary'!G$81:G$82)*(MONTH($E153)-1)/12)*$H153</f>
        <v>52.074710603795161</v>
      </c>
      <c r="M153" s="230">
        <f>(SUM('1.  LRAMVA Summary'!H$54:H$80)+SUM('1.  LRAMVA Summary'!H$81:H$82)*(MONTH($E153)-1)/12)*$H153</f>
        <v>0</v>
      </c>
      <c r="N153" s="230">
        <f>(SUM('1.  LRAMVA Summary'!I$54:I$80)+SUM('1.  LRAMVA Summary'!I$81:I$82)*(MONTH($E153)-1)/12)*$H153</f>
        <v>0</v>
      </c>
      <c r="O153" s="230">
        <f>(SUM('1.  LRAMVA Summary'!J$54:J$80)+SUM('1.  LRAMVA Summary'!J$81:J$82)*(MONTH($E153)-1)/12)*$H153</f>
        <v>-21.487727288694884</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589.11869642602073</v>
      </c>
    </row>
    <row r="154" spans="2:23" s="9" customFormat="1" ht="14.5">
      <c r="B154" s="66"/>
      <c r="E154" s="214">
        <v>43952</v>
      </c>
      <c r="F154" s="214" t="s">
        <v>187</v>
      </c>
      <c r="G154" s="215" t="s">
        <v>66</v>
      </c>
      <c r="H154" s="240">
        <f t="shared" si="90" ref="H154:H155">$C$52/12</f>
        <v>0.0018166666666666667</v>
      </c>
      <c r="I154" s="230">
        <f>(SUM('1.  LRAMVA Summary'!D$54:D$80)+SUM('1.  LRAMVA Summary'!D$81:D$82)*(MONTH($E154)-1)/12)*$H154</f>
        <v>296.84498229458677</v>
      </c>
      <c r="J154" s="230">
        <f>(SUM('1.  LRAMVA Summary'!E$54:E$80)+SUM('1.  LRAMVA Summary'!E$81:E$82)*(MONTH($E154)-1)/12)*$H154</f>
        <v>195.27713481455578</v>
      </c>
      <c r="K154" s="230">
        <f>(SUM('1.  LRAMVA Summary'!F$54:F$80)+SUM('1.  LRAMVA Summary'!F$81:F$82)*(MONTH($E154)-1)/12)*$H154</f>
        <v>66.409596001777786</v>
      </c>
      <c r="L154" s="230">
        <f>(SUM('1.  LRAMVA Summary'!G$54:G$80)+SUM('1.  LRAMVA Summary'!G$81:G$82)*(MONTH($E154)-1)/12)*$H154</f>
        <v>52.074710603795161</v>
      </c>
      <c r="M154" s="230">
        <f>(SUM('1.  LRAMVA Summary'!H$54:H$80)+SUM('1.  LRAMVA Summary'!H$81:H$82)*(MONTH($E154)-1)/12)*$H154</f>
        <v>0</v>
      </c>
      <c r="N154" s="230">
        <f>(SUM('1.  LRAMVA Summary'!I$54:I$80)+SUM('1.  LRAMVA Summary'!I$81:I$82)*(MONTH($E154)-1)/12)*$H154</f>
        <v>0</v>
      </c>
      <c r="O154" s="230">
        <f>(SUM('1.  LRAMVA Summary'!J$54:J$80)+SUM('1.  LRAMVA Summary'!J$81:J$82)*(MONTH($E154)-1)/12)*$H154</f>
        <v>-21.487727288694884</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589.11869642602073</v>
      </c>
    </row>
    <row r="155" spans="2:23" s="9" customFormat="1" ht="14.5">
      <c r="B155" s="66"/>
      <c r="E155" s="214">
        <v>43983</v>
      </c>
      <c r="F155" s="214" t="s">
        <v>187</v>
      </c>
      <c r="G155" s="215" t="s">
        <v>66</v>
      </c>
      <c r="H155" s="240">
        <f t="shared" si="90"/>
        <v>0.0018166666666666667</v>
      </c>
      <c r="I155" s="230">
        <f>(SUM('1.  LRAMVA Summary'!D$54:D$80)+SUM('1.  LRAMVA Summary'!D$81:D$82)*(MONTH($E155)-1)/12)*$H155</f>
        <v>296.84498229458677</v>
      </c>
      <c r="J155" s="230">
        <f>(SUM('1.  LRAMVA Summary'!E$54:E$80)+SUM('1.  LRAMVA Summary'!E$81:E$82)*(MONTH($E155)-1)/12)*$H155</f>
        <v>195.27713481455578</v>
      </c>
      <c r="K155" s="230">
        <f>(SUM('1.  LRAMVA Summary'!F$54:F$80)+SUM('1.  LRAMVA Summary'!F$81:F$82)*(MONTH($E155)-1)/12)*$H155</f>
        <v>66.409596001777786</v>
      </c>
      <c r="L155" s="230">
        <f>(SUM('1.  LRAMVA Summary'!G$54:G$80)+SUM('1.  LRAMVA Summary'!G$81:G$82)*(MONTH($E155)-1)/12)*$H155</f>
        <v>52.074710603795161</v>
      </c>
      <c r="M155" s="230">
        <f>(SUM('1.  LRAMVA Summary'!H$54:H$80)+SUM('1.  LRAMVA Summary'!H$81:H$82)*(MONTH($E155)-1)/12)*$H155</f>
        <v>0</v>
      </c>
      <c r="N155" s="230">
        <f>(SUM('1.  LRAMVA Summary'!I$54:I$80)+SUM('1.  LRAMVA Summary'!I$81:I$82)*(MONTH($E155)-1)/12)*$H155</f>
        <v>0</v>
      </c>
      <c r="O155" s="230">
        <f>(SUM('1.  LRAMVA Summary'!J$54:J$80)+SUM('1.  LRAMVA Summary'!J$81:J$82)*(MONTH($E155)-1)/12)*$H155</f>
        <v>-21.487727288694884</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589.11869642602073</v>
      </c>
    </row>
    <row r="156" spans="2:23" s="9" customFormat="1" ht="14.5">
      <c r="B156" s="66"/>
      <c r="E156" s="214">
        <v>44013</v>
      </c>
      <c r="F156" s="214" t="s">
        <v>187</v>
      </c>
      <c r="G156" s="215" t="s">
        <v>68</v>
      </c>
      <c r="H156" s="240">
        <f>$C$53/12</f>
        <v>0.000475</v>
      </c>
      <c r="I156" s="230">
        <f>(SUM('1.  LRAMVA Summary'!D$54:D$80)+SUM('1.  LRAMVA Summary'!D$81:D$82)*(MONTH($E156)-1)/12)*$H156</f>
        <v>77.615431150419482</v>
      </c>
      <c r="J156" s="230">
        <f>(SUM('1.  LRAMVA Summary'!E$54:E$80)+SUM('1.  LRAMVA Summary'!E$81:E$82)*(MONTH($E156)-1)/12)*$H156</f>
        <v>51.058700387292106</v>
      </c>
      <c r="K156" s="230">
        <f>(SUM('1.  LRAMVA Summary'!F$54:F$80)+SUM('1.  LRAMVA Summary'!F$81:F$82)*(MONTH($E156)-1)/12)*$H156</f>
        <v>17.363976936244651</v>
      </c>
      <c r="L156" s="230">
        <f>(SUM('1.  LRAMVA Summary'!G$54:G$80)+SUM('1.  LRAMVA Summary'!G$81:G$82)*(MONTH($E156)-1)/12)*$H156</f>
        <v>13.61586469915745</v>
      </c>
      <c r="M156" s="230">
        <f>(SUM('1.  LRAMVA Summary'!H$54:H$80)+SUM('1.  LRAMVA Summary'!H$81:H$82)*(MONTH($E156)-1)/12)*$H156</f>
        <v>0</v>
      </c>
      <c r="N156" s="230">
        <f>(SUM('1.  LRAMVA Summary'!I$54:I$80)+SUM('1.  LRAMVA Summary'!I$81:I$82)*(MONTH($E156)-1)/12)*$H156</f>
        <v>0</v>
      </c>
      <c r="O156" s="230">
        <f>(SUM('1.  LRAMVA Summary'!J$54:J$80)+SUM('1.  LRAMVA Summary'!J$81:J$82)*(MONTH($E156)-1)/12)*$H156</f>
        <v>-5.6183507130991215</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154.03562246001457</v>
      </c>
    </row>
    <row r="157" spans="2:23" s="9" customFormat="1" ht="14.5">
      <c r="B157" s="66"/>
      <c r="D157" s="841"/>
      <c r="E157" s="214">
        <v>44044</v>
      </c>
      <c r="F157" s="214" t="s">
        <v>187</v>
      </c>
      <c r="G157" s="215" t="s">
        <v>68</v>
      </c>
      <c r="H157" s="240">
        <f t="shared" si="91" ref="H157:H158">$C$53/12</f>
        <v>0.000475</v>
      </c>
      <c r="I157" s="230">
        <f>(SUM('1.  LRAMVA Summary'!D$54:D$80)+SUM('1.  LRAMVA Summary'!D$81:D$82)*(MONTH($E157)-1)/12)*$H157</f>
        <v>77.615431150419482</v>
      </c>
      <c r="J157" s="230">
        <f>(SUM('1.  LRAMVA Summary'!E$54:E$80)+SUM('1.  LRAMVA Summary'!E$81:E$82)*(MONTH($E157)-1)/12)*$H157</f>
        <v>51.058700387292106</v>
      </c>
      <c r="K157" s="230">
        <f>(SUM('1.  LRAMVA Summary'!F$54:F$80)+SUM('1.  LRAMVA Summary'!F$81:F$82)*(MONTH($E157)-1)/12)*$H157</f>
        <v>17.363976936244651</v>
      </c>
      <c r="L157" s="230">
        <f>(SUM('1.  LRAMVA Summary'!G$54:G$80)+SUM('1.  LRAMVA Summary'!G$81:G$82)*(MONTH($E157)-1)/12)*$H157</f>
        <v>13.61586469915745</v>
      </c>
      <c r="M157" s="230">
        <f>(SUM('1.  LRAMVA Summary'!H$54:H$80)+SUM('1.  LRAMVA Summary'!H$81:H$82)*(MONTH($E157)-1)/12)*$H157</f>
        <v>0</v>
      </c>
      <c r="N157" s="230">
        <f>(SUM('1.  LRAMVA Summary'!I$54:I$80)+SUM('1.  LRAMVA Summary'!I$81:I$82)*(MONTH($E157)-1)/12)*$H157</f>
        <v>0</v>
      </c>
      <c r="O157" s="230">
        <f>(SUM('1.  LRAMVA Summary'!J$54:J$80)+SUM('1.  LRAMVA Summary'!J$81:J$82)*(MONTH($E157)-1)/12)*$H157</f>
        <v>-5.6183507130991215</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154.03562246001457</v>
      </c>
    </row>
    <row r="158" spans="2:23" s="9" customFormat="1" ht="14.5">
      <c r="B158" s="66"/>
      <c r="E158" s="214">
        <v>44075</v>
      </c>
      <c r="F158" s="214" t="s">
        <v>187</v>
      </c>
      <c r="G158" s="215" t="s">
        <v>68</v>
      </c>
      <c r="H158" s="240">
        <f t="shared" si="91"/>
        <v>0.000475</v>
      </c>
      <c r="I158" s="230">
        <f>(SUM('1.  LRAMVA Summary'!D$54:D$80)+SUM('1.  LRAMVA Summary'!D$81:D$82)*(MONTH($E158)-1)/12)*$H158</f>
        <v>77.615431150419482</v>
      </c>
      <c r="J158" s="230">
        <f>(SUM('1.  LRAMVA Summary'!E$54:E$80)+SUM('1.  LRAMVA Summary'!E$81:E$82)*(MONTH($E158)-1)/12)*$H158</f>
        <v>51.058700387292106</v>
      </c>
      <c r="K158" s="230">
        <f>(SUM('1.  LRAMVA Summary'!F$54:F$80)+SUM('1.  LRAMVA Summary'!F$81:F$82)*(MONTH($E158)-1)/12)*$H158</f>
        <v>17.363976936244651</v>
      </c>
      <c r="L158" s="230">
        <f>(SUM('1.  LRAMVA Summary'!G$54:G$80)+SUM('1.  LRAMVA Summary'!G$81:G$82)*(MONTH($E158)-1)/12)*$H158</f>
        <v>13.61586469915745</v>
      </c>
      <c r="M158" s="230">
        <f>(SUM('1.  LRAMVA Summary'!H$54:H$80)+SUM('1.  LRAMVA Summary'!H$81:H$82)*(MONTH($E158)-1)/12)*$H158</f>
        <v>0</v>
      </c>
      <c r="N158" s="230">
        <f>(SUM('1.  LRAMVA Summary'!I$54:I$80)+SUM('1.  LRAMVA Summary'!I$81:I$82)*(MONTH($E158)-1)/12)*$H158</f>
        <v>0</v>
      </c>
      <c r="O158" s="230">
        <f>(SUM('1.  LRAMVA Summary'!J$54:J$80)+SUM('1.  LRAMVA Summary'!J$81:J$82)*(MONTH($E158)-1)/12)*$H158</f>
        <v>-5.6183507130991215</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154.03562246001457</v>
      </c>
    </row>
    <row r="159" spans="2:23" s="9" customFormat="1" ht="14.5">
      <c r="B159" s="66"/>
      <c r="E159" s="214">
        <v>44105</v>
      </c>
      <c r="F159" s="214" t="s">
        <v>187</v>
      </c>
      <c r="G159" s="215" t="s">
        <v>69</v>
      </c>
      <c r="H159" s="240">
        <f>$C$54/12</f>
        <v>0.000475</v>
      </c>
      <c r="I159" s="230">
        <f>(SUM('1.  LRAMVA Summary'!D$54:D$80)+SUM('1.  LRAMVA Summary'!D$81:D$82)*(MONTH($E159)-1)/12)*$H159</f>
        <v>77.615431150419482</v>
      </c>
      <c r="J159" s="230">
        <f>(SUM('1.  LRAMVA Summary'!E$54:E$80)+SUM('1.  LRAMVA Summary'!E$81:E$82)*(MONTH($E159)-1)/12)*$H159</f>
        <v>51.058700387292106</v>
      </c>
      <c r="K159" s="230">
        <f>(SUM('1.  LRAMVA Summary'!F$54:F$80)+SUM('1.  LRAMVA Summary'!F$81:F$82)*(MONTH($E159)-1)/12)*$H159</f>
        <v>17.363976936244651</v>
      </c>
      <c r="L159" s="230">
        <f>(SUM('1.  LRAMVA Summary'!G$54:G$80)+SUM('1.  LRAMVA Summary'!G$81:G$82)*(MONTH($E159)-1)/12)*$H159</f>
        <v>13.61586469915745</v>
      </c>
      <c r="M159" s="230">
        <f>(SUM('1.  LRAMVA Summary'!H$54:H$80)+SUM('1.  LRAMVA Summary'!H$81:H$82)*(MONTH($E159)-1)/12)*$H159</f>
        <v>0</v>
      </c>
      <c r="N159" s="230">
        <f>(SUM('1.  LRAMVA Summary'!I$54:I$80)+SUM('1.  LRAMVA Summary'!I$81:I$82)*(MONTH($E159)-1)/12)*$H159</f>
        <v>0</v>
      </c>
      <c r="O159" s="230">
        <f>(SUM('1.  LRAMVA Summary'!J$54:J$80)+SUM('1.  LRAMVA Summary'!J$81:J$82)*(MONTH($E159)-1)/12)*$H159</f>
        <v>-5.6183507130991215</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154.03562246001457</v>
      </c>
    </row>
    <row r="160" spans="2:23" s="9" customFormat="1" ht="14.5">
      <c r="B160" s="66"/>
      <c r="E160" s="214">
        <v>44136</v>
      </c>
      <c r="F160" s="214" t="s">
        <v>187</v>
      </c>
      <c r="G160" s="215" t="s">
        <v>69</v>
      </c>
      <c r="H160" s="240">
        <f t="shared" si="92" ref="H160:H161">$C$54/12</f>
        <v>0.000475</v>
      </c>
      <c r="I160" s="230">
        <f>(SUM('1.  LRAMVA Summary'!D$54:D$80)+SUM('1.  LRAMVA Summary'!D$81:D$82)*(MONTH($E160)-1)/12)*$H160</f>
        <v>77.615431150419482</v>
      </c>
      <c r="J160" s="230">
        <f>(SUM('1.  LRAMVA Summary'!E$54:E$80)+SUM('1.  LRAMVA Summary'!E$81:E$82)*(MONTH($E160)-1)/12)*$H160</f>
        <v>51.058700387292106</v>
      </c>
      <c r="K160" s="230">
        <f>(SUM('1.  LRAMVA Summary'!F$54:F$80)+SUM('1.  LRAMVA Summary'!F$81:F$82)*(MONTH($E160)-1)/12)*$H160</f>
        <v>17.363976936244651</v>
      </c>
      <c r="L160" s="230">
        <f>(SUM('1.  LRAMVA Summary'!G$54:G$80)+SUM('1.  LRAMVA Summary'!G$81:G$82)*(MONTH($E160)-1)/12)*$H160</f>
        <v>13.61586469915745</v>
      </c>
      <c r="M160" s="230">
        <f>(SUM('1.  LRAMVA Summary'!H$54:H$80)+SUM('1.  LRAMVA Summary'!H$81:H$82)*(MONTH($E160)-1)/12)*$H160</f>
        <v>0</v>
      </c>
      <c r="N160" s="230">
        <f>(SUM('1.  LRAMVA Summary'!I$54:I$80)+SUM('1.  LRAMVA Summary'!I$81:I$82)*(MONTH($E160)-1)/12)*$H160</f>
        <v>0</v>
      </c>
      <c r="O160" s="230">
        <f>(SUM('1.  LRAMVA Summary'!J$54:J$80)+SUM('1.  LRAMVA Summary'!J$81:J$82)*(MONTH($E160)-1)/12)*$H160</f>
        <v>-5.6183507130991215</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154.03562246001457</v>
      </c>
    </row>
    <row r="161" spans="2:23" s="9" customFormat="1" ht="14.5">
      <c r="B161" s="66"/>
      <c r="E161" s="214">
        <v>44166</v>
      </c>
      <c r="F161" s="214" t="s">
        <v>187</v>
      </c>
      <c r="G161" s="215" t="s">
        <v>69</v>
      </c>
      <c r="H161" s="240">
        <f t="shared" si="92"/>
        <v>0.000475</v>
      </c>
      <c r="I161" s="230">
        <f>(SUM('1.  LRAMVA Summary'!D$54:D$80)+SUM('1.  LRAMVA Summary'!D$81:D$82)*(MONTH($E161)-1)/12)*$H161</f>
        <v>77.615431150419482</v>
      </c>
      <c r="J161" s="230">
        <f>(SUM('1.  LRAMVA Summary'!E$54:E$80)+SUM('1.  LRAMVA Summary'!E$81:E$82)*(MONTH($E161)-1)/12)*$H161</f>
        <v>51.058700387292106</v>
      </c>
      <c r="K161" s="230">
        <f>(SUM('1.  LRAMVA Summary'!F$54:F$80)+SUM('1.  LRAMVA Summary'!F$81:F$82)*(MONTH($E161)-1)/12)*$H161</f>
        <v>17.363976936244651</v>
      </c>
      <c r="L161" s="230">
        <f>(SUM('1.  LRAMVA Summary'!G$54:G$80)+SUM('1.  LRAMVA Summary'!G$81:G$82)*(MONTH($E161)-1)/12)*$H161</f>
        <v>13.61586469915745</v>
      </c>
      <c r="M161" s="230">
        <f>(SUM('1.  LRAMVA Summary'!H$54:H$80)+SUM('1.  LRAMVA Summary'!H$81:H$82)*(MONTH($E161)-1)/12)*$H161</f>
        <v>0</v>
      </c>
      <c r="N161" s="230">
        <f>(SUM('1.  LRAMVA Summary'!I$54:I$80)+SUM('1.  LRAMVA Summary'!I$81:I$82)*(MONTH($E161)-1)/12)*$H161</f>
        <v>0</v>
      </c>
      <c r="O161" s="230">
        <f>(SUM('1.  LRAMVA Summary'!J$54:J$80)+SUM('1.  LRAMVA Summary'!J$81:J$82)*(MONTH($E161)-1)/12)*$H161</f>
        <v>-5.6183507130991215</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154.03562246001457</v>
      </c>
    </row>
    <row r="162" spans="2:23" s="9" customFormat="1" ht="15" thickBot="1">
      <c r="B162" s="66"/>
      <c r="E162" s="216" t="s">
        <v>469</v>
      </c>
      <c r="F162" s="216"/>
      <c r="G162" s="217"/>
      <c r="H162" s="218"/>
      <c r="I162" s="219">
        <f>SUM(I149:I161)</f>
        <v>9988.640709016734</v>
      </c>
      <c r="J162" s="219">
        <f>SUM(J149:J161)</f>
        <v>6766.2068211985297</v>
      </c>
      <c r="K162" s="219">
        <f t="shared" si="93" ref="K162:O162">SUM(K149:K161)</f>
        <v>2488.3701065095552</v>
      </c>
      <c r="L162" s="219">
        <f t="shared" si="93"/>
        <v>1900.0209155793336</v>
      </c>
      <c r="M162" s="219">
        <f t="shared" si="93"/>
        <v>0</v>
      </c>
      <c r="N162" s="219">
        <f t="shared" si="93"/>
        <v>0</v>
      </c>
      <c r="O162" s="219">
        <f t="shared" si="93"/>
        <v>-851.90132083970002</v>
      </c>
      <c r="P162" s="219">
        <f t="shared" si="94" ref="P162:V162">SUM(P149:P161)</f>
        <v>0</v>
      </c>
      <c r="Q162" s="219">
        <f t="shared" si="94"/>
        <v>0</v>
      </c>
      <c r="R162" s="219">
        <f t="shared" si="94"/>
        <v>0</v>
      </c>
      <c r="S162" s="219">
        <f t="shared" si="94"/>
        <v>0</v>
      </c>
      <c r="T162" s="219">
        <f t="shared" si="94"/>
        <v>0</v>
      </c>
      <c r="U162" s="219">
        <f t="shared" si="94"/>
        <v>0</v>
      </c>
      <c r="V162" s="219">
        <f t="shared" si="94"/>
        <v>0</v>
      </c>
      <c r="W162" s="219">
        <f>SUM(W149:W161)</f>
        <v>20291.337231464444</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ht="14.5">
      <c r="B164" s="66"/>
      <c r="E164" s="225" t="s">
        <v>713</v>
      </c>
      <c r="F164" s="225"/>
      <c r="G164" s="226"/>
      <c r="H164" s="227"/>
      <c r="I164" s="228">
        <f>I162+I163</f>
        <v>9988.640709016734</v>
      </c>
      <c r="J164" s="228">
        <f t="shared" si="95" ref="J164:U164">J162+J163</f>
        <v>6766.2068211985297</v>
      </c>
      <c r="K164" s="228">
        <f t="shared" si="95"/>
        <v>2488.3701065095552</v>
      </c>
      <c r="L164" s="228">
        <f t="shared" si="95"/>
        <v>1900.0209155793336</v>
      </c>
      <c r="M164" s="228">
        <f t="shared" si="95"/>
        <v>0</v>
      </c>
      <c r="N164" s="228">
        <f t="shared" si="95"/>
        <v>0</v>
      </c>
      <c r="O164" s="228">
        <f t="shared" si="95"/>
        <v>-851.90132083970002</v>
      </c>
      <c r="P164" s="228">
        <f t="shared" si="95"/>
        <v>0</v>
      </c>
      <c r="Q164" s="228">
        <f t="shared" si="95"/>
        <v>0</v>
      </c>
      <c r="R164" s="228">
        <f t="shared" si="95"/>
        <v>0</v>
      </c>
      <c r="S164" s="228">
        <f t="shared" si="95"/>
        <v>0</v>
      </c>
      <c r="T164" s="228">
        <f t="shared" si="95"/>
        <v>0</v>
      </c>
      <c r="U164" s="228">
        <f t="shared" si="95"/>
        <v>0</v>
      </c>
      <c r="V164" s="228">
        <f>V162+V163</f>
        <v>0</v>
      </c>
      <c r="W164" s="228">
        <f>W162+W163</f>
        <v>20291.337231464444</v>
      </c>
    </row>
    <row r="165" spans="5:23" ht="14.5">
      <c r="E165" s="214">
        <v>44197</v>
      </c>
      <c r="F165" s="214" t="s">
        <v>719</v>
      </c>
      <c r="G165" s="215" t="s">
        <v>65</v>
      </c>
      <c r="H165" s="240">
        <f>$C$55/12</f>
        <v>0.000475</v>
      </c>
      <c r="I165" s="230">
        <f>(SUM('1.  LRAMVA Summary'!D$54:D$80)+SUM('1.  LRAMVA Summary'!D$81:D$82)*(MONTH($E165)-1)/12)*$H165</f>
        <v>77.615431150419482</v>
      </c>
      <c r="J165" s="230">
        <f>(SUM('1.  LRAMVA Summary'!E$54:E$80)+SUM('1.  LRAMVA Summary'!E$81:E$82)*(MONTH($E165)-1)/12)*$H165</f>
        <v>51.058700387292106</v>
      </c>
      <c r="K165" s="230">
        <f>(SUM('1.  LRAMVA Summary'!F$54:F$80)+SUM('1.  LRAMVA Summary'!F$81:F$82)*(MONTH($E165)-1)/12)*$H165</f>
        <v>17.363976936244651</v>
      </c>
      <c r="L165" s="230">
        <f>(SUM('1.  LRAMVA Summary'!G$54:G$80)+SUM('1.  LRAMVA Summary'!G$81:G$82)*(MONTH($E165)-1)/12)*$H165</f>
        <v>13.61586469915745</v>
      </c>
      <c r="M165" s="230">
        <f>(SUM('1.  LRAMVA Summary'!H$54:H$80)+SUM('1.  LRAMVA Summary'!H$81:H$82)*(MONTH($E165)-1)/12)*$H165</f>
        <v>0</v>
      </c>
      <c r="N165" s="230">
        <f>(SUM('1.  LRAMVA Summary'!I$54:I$80)+SUM('1.  LRAMVA Summary'!I$81:I$82)*(MONTH($E165)-1)/12)*$H165</f>
        <v>0</v>
      </c>
      <c r="O165" s="230">
        <f>(SUM('1.  LRAMVA Summary'!J$54:J$80)+SUM('1.  LRAMVA Summary'!J$81:J$82)*(MONTH($E165)-1)/12)*$H165</f>
        <v>-5.6183507130991215</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154.03562246001457</v>
      </c>
    </row>
    <row r="166" spans="5:23" ht="14.5">
      <c r="E166" s="214">
        <v>44228</v>
      </c>
      <c r="F166" s="214" t="s">
        <v>719</v>
      </c>
      <c r="G166" s="215" t="s">
        <v>65</v>
      </c>
      <c r="H166" s="240">
        <f t="shared" si="96" ref="H166:H167">$C$55/12</f>
        <v>0.000475</v>
      </c>
      <c r="I166" s="230">
        <f>(SUM('1.  LRAMVA Summary'!D$54:D$80)+SUM('1.  LRAMVA Summary'!D$81:D$82)*(MONTH($E166)-1)/12)*$H166</f>
        <v>77.615431150419482</v>
      </c>
      <c r="J166" s="230">
        <f>(SUM('1.  LRAMVA Summary'!E$54:E$80)+SUM('1.  LRAMVA Summary'!E$81:E$82)*(MONTH($E166)-1)/12)*$H166</f>
        <v>51.058700387292106</v>
      </c>
      <c r="K166" s="230">
        <f>(SUM('1.  LRAMVA Summary'!F$54:F$80)+SUM('1.  LRAMVA Summary'!F$81:F$82)*(MONTH($E166)-1)/12)*$H166</f>
        <v>17.363976936244651</v>
      </c>
      <c r="L166" s="230">
        <f>(SUM('1.  LRAMVA Summary'!G$54:G$80)+SUM('1.  LRAMVA Summary'!G$81:G$82)*(MONTH($E166)-1)/12)*$H166</f>
        <v>13.61586469915745</v>
      </c>
      <c r="M166" s="230">
        <f>(SUM('1.  LRAMVA Summary'!H$54:H$80)+SUM('1.  LRAMVA Summary'!H$81:H$82)*(MONTH($E166)-1)/12)*$H166</f>
        <v>0</v>
      </c>
      <c r="N166" s="230">
        <f>(SUM('1.  LRAMVA Summary'!I$54:I$80)+SUM('1.  LRAMVA Summary'!I$81:I$82)*(MONTH($E166)-1)/12)*$H166</f>
        <v>0</v>
      </c>
      <c r="O166" s="230">
        <f>(SUM('1.  LRAMVA Summary'!J$54:J$80)+SUM('1.  LRAMVA Summary'!J$81:J$82)*(MONTH($E166)-1)/12)*$H166</f>
        <v>-5.6183507130991215</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si="97" ref="W166:W175">SUM(I166:V166)</f>
        <v>154.03562246001457</v>
      </c>
    </row>
    <row r="167" spans="5:23" ht="14.5">
      <c r="E167" s="214">
        <v>44256</v>
      </c>
      <c r="F167" s="214" t="s">
        <v>719</v>
      </c>
      <c r="G167" s="215" t="s">
        <v>65</v>
      </c>
      <c r="H167" s="240">
        <f t="shared" si="96"/>
        <v>0.000475</v>
      </c>
      <c r="I167" s="230">
        <f>(SUM('1.  LRAMVA Summary'!D$54:D$80)+SUM('1.  LRAMVA Summary'!D$81:D$82)*(MONTH($E167)-1)/12)*$H167</f>
        <v>77.615431150419482</v>
      </c>
      <c r="J167" s="230">
        <f>(SUM('1.  LRAMVA Summary'!E$54:E$80)+SUM('1.  LRAMVA Summary'!E$81:E$82)*(MONTH($E167)-1)/12)*$H167</f>
        <v>51.058700387292106</v>
      </c>
      <c r="K167" s="230">
        <f>(SUM('1.  LRAMVA Summary'!F$54:F$80)+SUM('1.  LRAMVA Summary'!F$81:F$82)*(MONTH($E167)-1)/12)*$H167</f>
        <v>17.363976936244651</v>
      </c>
      <c r="L167" s="230">
        <f>(SUM('1.  LRAMVA Summary'!G$54:G$80)+SUM('1.  LRAMVA Summary'!G$81:G$82)*(MONTH($E167)-1)/12)*$H167</f>
        <v>13.61586469915745</v>
      </c>
      <c r="M167" s="230">
        <f>(SUM('1.  LRAMVA Summary'!H$54:H$80)+SUM('1.  LRAMVA Summary'!H$81:H$82)*(MONTH($E167)-1)/12)*$H167</f>
        <v>0</v>
      </c>
      <c r="N167" s="230">
        <f>(SUM('1.  LRAMVA Summary'!I$54:I$80)+SUM('1.  LRAMVA Summary'!I$81:I$82)*(MONTH($E167)-1)/12)*$H167</f>
        <v>0</v>
      </c>
      <c r="O167" s="230">
        <f>(SUM('1.  LRAMVA Summary'!J$54:J$80)+SUM('1.  LRAMVA Summary'!J$81:J$82)*(MONTH($E167)-1)/12)*$H167</f>
        <v>-5.6183507130991215</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7"/>
        <v>154.03562246001457</v>
      </c>
    </row>
    <row r="168" spans="5:23" ht="14.5">
      <c r="E168" s="214">
        <v>44287</v>
      </c>
      <c r="F168" s="214" t="s">
        <v>719</v>
      </c>
      <c r="G168" s="215" t="s">
        <v>66</v>
      </c>
      <c r="H168" s="240">
        <f>H167</f>
        <v>0.000475</v>
      </c>
      <c r="I168" s="230">
        <f>(SUM('1.  LRAMVA Summary'!D$54:D$80)+SUM('1.  LRAMVA Summary'!D$81:D$82)*(MONTH($E168)-1)/12)*$H168</f>
        <v>77.615431150419482</v>
      </c>
      <c r="J168" s="230">
        <f>(SUM('1.  LRAMVA Summary'!E$54:E$80)+SUM('1.  LRAMVA Summary'!E$81:E$82)*(MONTH($E168)-1)/12)*$H168</f>
        <v>51.058700387292106</v>
      </c>
      <c r="K168" s="230">
        <f>(SUM('1.  LRAMVA Summary'!F$54:F$80)+SUM('1.  LRAMVA Summary'!F$81:F$82)*(MONTH($E168)-1)/12)*$H168</f>
        <v>17.363976936244651</v>
      </c>
      <c r="L168" s="230">
        <f>(SUM('1.  LRAMVA Summary'!G$54:G$80)+SUM('1.  LRAMVA Summary'!G$81:G$82)*(MONTH($E168)-1)/12)*$H168</f>
        <v>13.61586469915745</v>
      </c>
      <c r="M168" s="230">
        <f>(SUM('1.  LRAMVA Summary'!H$54:H$80)+SUM('1.  LRAMVA Summary'!H$81:H$82)*(MONTH($E168)-1)/12)*$H168</f>
        <v>0</v>
      </c>
      <c r="N168" s="230">
        <f>(SUM('1.  LRAMVA Summary'!I$54:I$80)+SUM('1.  LRAMVA Summary'!I$81:I$82)*(MONTH($E168)-1)/12)*$H168</f>
        <v>0</v>
      </c>
      <c r="O168" s="230">
        <f>(SUM('1.  LRAMVA Summary'!J$54:J$80)+SUM('1.  LRAMVA Summary'!J$81:J$82)*(MONTH($E168)-1)/12)*$H168</f>
        <v>-5.6183507130991215</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7"/>
        <v>154.03562246001457</v>
      </c>
    </row>
    <row r="169" spans="5:23" ht="14.5">
      <c r="E169" s="214">
        <v>44317</v>
      </c>
      <c r="F169" s="214" t="s">
        <v>719</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7"/>
        <v>0</v>
      </c>
    </row>
    <row r="170" spans="5:23" ht="14.5">
      <c r="E170" s="214">
        <v>44348</v>
      </c>
      <c r="F170" s="214" t="s">
        <v>719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7"/>
        <v>0</v>
      </c>
    </row>
    <row r="171" spans="5:23" ht="14.5">
      <c r="E171" s="214">
        <v>44378</v>
      </c>
      <c r="F171" s="214" t="s">
        <v>719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7"/>
        <v>0</v>
      </c>
    </row>
    <row r="172" spans="5:23" ht="14.5">
      <c r="E172" s="214">
        <v>44409</v>
      </c>
      <c r="F172" s="214" t="s">
        <v>719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7"/>
        <v>0</v>
      </c>
    </row>
    <row r="173" spans="5:23" ht="14.5">
      <c r="E173" s="214">
        <v>44440</v>
      </c>
      <c r="F173" s="214" t="s">
        <v>719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7"/>
        <v>0</v>
      </c>
    </row>
    <row r="174" spans="5:23" ht="14.5">
      <c r="E174" s="214">
        <v>44470</v>
      </c>
      <c r="F174" s="214" t="s">
        <v>719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7"/>
        <v>0</v>
      </c>
    </row>
    <row r="175" spans="5:23" ht="14.5">
      <c r="E175" s="214">
        <v>44501</v>
      </c>
      <c r="F175" s="214" t="s">
        <v>719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7"/>
        <v>0</v>
      </c>
    </row>
    <row r="176" spans="5:23" ht="14.5">
      <c r="E176" s="214">
        <v>44531</v>
      </c>
      <c r="F176" s="214" t="s">
        <v>719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714</v>
      </c>
      <c r="F177" s="216"/>
      <c r="G177" s="217"/>
      <c r="H177" s="218"/>
      <c r="I177" s="219">
        <f>SUM(I164:I176)</f>
        <v>10299.102433618413</v>
      </c>
      <c r="J177" s="219">
        <f>SUM(J164:J176)</f>
        <v>6970.4416227476995</v>
      </c>
      <c r="K177" s="219">
        <f t="shared" si="98" ref="K177:V177">SUM(K164:K176)</f>
        <v>2557.8260142545346</v>
      </c>
      <c r="L177" s="219">
        <f t="shared" si="98"/>
        <v>1954.4843743759639</v>
      </c>
      <c r="M177" s="219">
        <f t="shared" si="98"/>
        <v>0</v>
      </c>
      <c r="N177" s="219">
        <f t="shared" si="98"/>
        <v>0</v>
      </c>
      <c r="O177" s="219">
        <f t="shared" si="98"/>
        <v>-874.37472369209672</v>
      </c>
      <c r="P177" s="219">
        <f t="shared" si="98"/>
        <v>0</v>
      </c>
      <c r="Q177" s="219">
        <f t="shared" si="98"/>
        <v>0</v>
      </c>
      <c r="R177" s="219">
        <f t="shared" si="98"/>
        <v>0</v>
      </c>
      <c r="S177" s="219">
        <f t="shared" si="98"/>
        <v>0</v>
      </c>
      <c r="T177" s="219">
        <f t="shared" si="98"/>
        <v>0</v>
      </c>
      <c r="U177" s="219">
        <f t="shared" si="98"/>
        <v>0</v>
      </c>
      <c r="V177" s="219">
        <f t="shared" si="98"/>
        <v>0</v>
      </c>
      <c r="W177" s="219">
        <f>SUM(W164:W176)</f>
        <v>20907.479721304502</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ht="14.5">
      <c r="E179" s="225" t="s">
        <v>715</v>
      </c>
      <c r="F179" s="225"/>
      <c r="G179" s="226"/>
      <c r="H179" s="227"/>
      <c r="I179" s="228">
        <f>I177+I178</f>
        <v>10299.102433618413</v>
      </c>
      <c r="J179" s="228">
        <f t="shared" si="99" ref="J179:U179">J177+J178</f>
        <v>6970.4416227476995</v>
      </c>
      <c r="K179" s="228">
        <f t="shared" si="99"/>
        <v>2557.8260142545346</v>
      </c>
      <c r="L179" s="228">
        <f t="shared" si="99"/>
        <v>1954.4843743759639</v>
      </c>
      <c r="M179" s="228">
        <f t="shared" si="99"/>
        <v>0</v>
      </c>
      <c r="N179" s="228">
        <f t="shared" si="99"/>
        <v>0</v>
      </c>
      <c r="O179" s="228">
        <f t="shared" si="99"/>
        <v>-874.37472369209672</v>
      </c>
      <c r="P179" s="228">
        <f t="shared" si="99"/>
        <v>0</v>
      </c>
      <c r="Q179" s="228">
        <f t="shared" si="99"/>
        <v>0</v>
      </c>
      <c r="R179" s="228">
        <f t="shared" si="99"/>
        <v>0</v>
      </c>
      <c r="S179" s="228">
        <f t="shared" si="99"/>
        <v>0</v>
      </c>
      <c r="T179" s="228">
        <f t="shared" si="99"/>
        <v>0</v>
      </c>
      <c r="U179" s="228">
        <f t="shared" si="99"/>
        <v>0</v>
      </c>
      <c r="V179" s="228">
        <f>V177+V178</f>
        <v>0</v>
      </c>
      <c r="W179" s="228">
        <f>W177+W178</f>
        <v>20907.479721304502</v>
      </c>
    </row>
    <row r="180" spans="5:23" ht="14.5">
      <c r="E180" s="214">
        <v>44562</v>
      </c>
      <c r="F180" s="214" t="s">
        <v>720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ht="14.5">
      <c r="E181" s="214">
        <v>44593</v>
      </c>
      <c r="F181" s="214" t="s">
        <v>720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si="100" ref="W181:W190">SUM(I181:V181)</f>
        <v>0</v>
      </c>
    </row>
    <row r="182" spans="5:23" ht="14.5">
      <c r="E182" s="214">
        <v>44621</v>
      </c>
      <c r="F182" s="214" t="s">
        <v>720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ht="14.5">
      <c r="E183" s="214">
        <v>44652</v>
      </c>
      <c r="F183" s="214" t="s">
        <v>720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ht="14.5">
      <c r="E184" s="214">
        <v>44682</v>
      </c>
      <c r="F184" s="214" t="s">
        <v>720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ht="14.5">
      <c r="E185" s="214">
        <v>44713</v>
      </c>
      <c r="F185" s="214" t="s">
        <v>720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ht="14.5">
      <c r="E186" s="214">
        <v>44743</v>
      </c>
      <c r="F186" s="214" t="s">
        <v>720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ht="14.5">
      <c r="E187" s="214">
        <v>44774</v>
      </c>
      <c r="F187" s="214" t="s">
        <v>720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ht="14.5">
      <c r="E188" s="214">
        <v>44805</v>
      </c>
      <c r="F188" s="214" t="s">
        <v>720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ht="14.5">
      <c r="E189" s="214">
        <v>44835</v>
      </c>
      <c r="F189" s="214" t="s">
        <v>720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ht="14.5">
      <c r="E190" s="214">
        <v>44866</v>
      </c>
      <c r="F190" s="214" t="s">
        <v>720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ht="14.5">
      <c r="E191" s="214">
        <v>44896</v>
      </c>
      <c r="F191" s="214" t="s">
        <v>720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716</v>
      </c>
      <c r="F192" s="216"/>
      <c r="G192" s="217"/>
      <c r="H192" s="218"/>
      <c r="I192" s="219">
        <f>SUM(I179:I191)</f>
        <v>10299.102433618413</v>
      </c>
      <c r="J192" s="219">
        <f>SUM(J179:J191)</f>
        <v>6970.4416227476995</v>
      </c>
      <c r="K192" s="219">
        <f t="shared" si="101" ref="K192:V192">SUM(K179:K191)</f>
        <v>2557.8260142545346</v>
      </c>
      <c r="L192" s="219">
        <f t="shared" si="101"/>
        <v>1954.4843743759639</v>
      </c>
      <c r="M192" s="219">
        <f t="shared" si="101"/>
        <v>0</v>
      </c>
      <c r="N192" s="219">
        <f t="shared" si="101"/>
        <v>0</v>
      </c>
      <c r="O192" s="219">
        <f t="shared" si="101"/>
        <v>-874.37472369209672</v>
      </c>
      <c r="P192" s="219">
        <f t="shared" si="101"/>
        <v>0</v>
      </c>
      <c r="Q192" s="219">
        <f t="shared" si="101"/>
        <v>0</v>
      </c>
      <c r="R192" s="219">
        <f t="shared" si="101"/>
        <v>0</v>
      </c>
      <c r="S192" s="219">
        <f t="shared" si="101"/>
        <v>0</v>
      </c>
      <c r="T192" s="219">
        <f t="shared" si="101"/>
        <v>0</v>
      </c>
      <c r="U192" s="219">
        <f t="shared" si="101"/>
        <v>0</v>
      </c>
      <c r="V192" s="219">
        <f t="shared" si="101"/>
        <v>0</v>
      </c>
      <c r="W192" s="219">
        <f>SUM(W179:W191)</f>
        <v>20907.479721304502</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ht="14.5">
      <c r="E194" s="225" t="s">
        <v>717</v>
      </c>
      <c r="F194" s="225"/>
      <c r="G194" s="226"/>
      <c r="H194" s="227"/>
      <c r="I194" s="228">
        <f>I192+I193</f>
        <v>10299.102433618413</v>
      </c>
      <c r="J194" s="228">
        <f t="shared" si="102" ref="J194:U194">J192+J193</f>
        <v>6970.4416227476995</v>
      </c>
      <c r="K194" s="228">
        <f t="shared" si="102"/>
        <v>2557.8260142545346</v>
      </c>
      <c r="L194" s="228">
        <f t="shared" si="102"/>
        <v>1954.4843743759639</v>
      </c>
      <c r="M194" s="228">
        <f t="shared" si="102"/>
        <v>0</v>
      </c>
      <c r="N194" s="228">
        <f t="shared" si="102"/>
        <v>0</v>
      </c>
      <c r="O194" s="228">
        <f t="shared" si="102"/>
        <v>-874.37472369209672</v>
      </c>
      <c r="P194" s="228">
        <f t="shared" si="102"/>
        <v>0</v>
      </c>
      <c r="Q194" s="228">
        <f t="shared" si="102"/>
        <v>0</v>
      </c>
      <c r="R194" s="228">
        <f t="shared" si="102"/>
        <v>0</v>
      </c>
      <c r="S194" s="228">
        <f t="shared" si="102"/>
        <v>0</v>
      </c>
      <c r="T194" s="228">
        <f t="shared" si="102"/>
        <v>0</v>
      </c>
      <c r="U194" s="228">
        <f t="shared" si="102"/>
        <v>0</v>
      </c>
      <c r="V194" s="228">
        <f>V192+V193</f>
        <v>0</v>
      </c>
      <c r="W194" s="228">
        <f>W192+W193</f>
        <v>20907.479721304502</v>
      </c>
    </row>
    <row r="195" spans="5:23" ht="14.5">
      <c r="E195" s="214">
        <v>44927</v>
      </c>
      <c r="F195" s="214" t="s">
        <v>721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ht="14.5">
      <c r="E196" s="214">
        <v>44958</v>
      </c>
      <c r="F196" s="214" t="s">
        <v>721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si="103" ref="W196:W205">SUM(I196:V196)</f>
        <v>0</v>
      </c>
    </row>
    <row r="197" spans="5:23" ht="14.5">
      <c r="E197" s="214">
        <v>44986</v>
      </c>
      <c r="F197" s="214" t="s">
        <v>721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ht="14.5">
      <c r="E198" s="214">
        <v>45017</v>
      </c>
      <c r="F198" s="214" t="s">
        <v>721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ht="14.5">
      <c r="E199" s="214">
        <v>45047</v>
      </c>
      <c r="F199" s="214" t="s">
        <v>721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ht="14.5">
      <c r="E200" s="214">
        <v>45078</v>
      </c>
      <c r="F200" s="214" t="s">
        <v>721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ht="14.5">
      <c r="E201" s="214">
        <v>45108</v>
      </c>
      <c r="F201" s="214" t="s">
        <v>721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ht="14.5">
      <c r="E202" s="214">
        <v>45139</v>
      </c>
      <c r="F202" s="214" t="s">
        <v>721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ht="14.5">
      <c r="E203" s="214">
        <v>45170</v>
      </c>
      <c r="F203" s="214" t="s">
        <v>721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ht="14.5">
      <c r="E204" s="214">
        <v>45200</v>
      </c>
      <c r="F204" s="214" t="s">
        <v>721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ht="14.5">
      <c r="E205" s="214">
        <v>45231</v>
      </c>
      <c r="F205" s="214" t="s">
        <v>721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ht="14.5">
      <c r="E206" s="214">
        <v>45261</v>
      </c>
      <c r="F206" s="214" t="s">
        <v>721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718</v>
      </c>
      <c r="F207" s="216"/>
      <c r="G207" s="217"/>
      <c r="H207" s="218"/>
      <c r="I207" s="219">
        <f>SUM(I194:I206)</f>
        <v>10299.102433618413</v>
      </c>
      <c r="J207" s="219">
        <f>SUM(J194:J206)</f>
        <v>6970.4416227476995</v>
      </c>
      <c r="K207" s="219">
        <f t="shared" si="104" ref="K207:V207">SUM(K194:K206)</f>
        <v>2557.8260142545346</v>
      </c>
      <c r="L207" s="219">
        <f t="shared" si="104"/>
        <v>1954.4843743759639</v>
      </c>
      <c r="M207" s="219">
        <f t="shared" si="104"/>
        <v>0</v>
      </c>
      <c r="N207" s="219">
        <f t="shared" si="104"/>
        <v>0</v>
      </c>
      <c r="O207" s="219">
        <f t="shared" si="104"/>
        <v>-874.37472369209672</v>
      </c>
      <c r="P207" s="219">
        <f t="shared" si="104"/>
        <v>0</v>
      </c>
      <c r="Q207" s="219">
        <f t="shared" si="104"/>
        <v>0</v>
      </c>
      <c r="R207" s="219">
        <f t="shared" si="104"/>
        <v>0</v>
      </c>
      <c r="S207" s="219">
        <f t="shared" si="104"/>
        <v>0</v>
      </c>
      <c r="T207" s="219">
        <f t="shared" si="104"/>
        <v>0</v>
      </c>
      <c r="U207" s="219">
        <f t="shared" si="104"/>
        <v>0</v>
      </c>
      <c r="V207" s="219">
        <f t="shared" si="104"/>
        <v>0</v>
      </c>
      <c r="W207" s="219">
        <f>SUM(W194:W206)</f>
        <v>20907.479721304502</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ht="14.5">
      <c r="E209" s="225" t="s">
        <v>736</v>
      </c>
      <c r="F209" s="225"/>
      <c r="G209" s="226"/>
      <c r="H209" s="227"/>
      <c r="I209" s="228">
        <f>I207+I208</f>
        <v>10299.102433618413</v>
      </c>
      <c r="J209" s="228">
        <f t="shared" si="105" ref="J209:U209">J207+J208</f>
        <v>6970.4416227476995</v>
      </c>
      <c r="K209" s="228">
        <f t="shared" si="105"/>
        <v>2557.8260142545346</v>
      </c>
      <c r="L209" s="228">
        <f t="shared" si="105"/>
        <v>1954.4843743759639</v>
      </c>
      <c r="M209" s="228">
        <f t="shared" si="105"/>
        <v>0</v>
      </c>
      <c r="N209" s="228">
        <f t="shared" si="105"/>
        <v>0</v>
      </c>
      <c r="O209" s="228">
        <f t="shared" si="105"/>
        <v>-874.37472369209672</v>
      </c>
      <c r="P209" s="228">
        <f t="shared" si="105"/>
        <v>0</v>
      </c>
      <c r="Q209" s="228">
        <f t="shared" si="105"/>
        <v>0</v>
      </c>
      <c r="R209" s="228">
        <f t="shared" si="105"/>
        <v>0</v>
      </c>
      <c r="S209" s="228">
        <f t="shared" si="105"/>
        <v>0</v>
      </c>
      <c r="T209" s="228">
        <f t="shared" si="105"/>
        <v>0</v>
      </c>
      <c r="U209" s="228">
        <f t="shared" si="105"/>
        <v>0</v>
      </c>
      <c r="V209" s="228">
        <f>V207+V208</f>
        <v>0</v>
      </c>
      <c r="W209" s="228">
        <f>W207+W208</f>
        <v>20907.479721304502</v>
      </c>
    </row>
    <row r="210" spans="5:23" ht="14.5">
      <c r="E210" s="214">
        <v>45292</v>
      </c>
      <c r="F210" s="214" t="s">
        <v>740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ht="14.5">
      <c r="E211" s="214">
        <v>45323</v>
      </c>
      <c r="F211" s="214" t="s">
        <v>740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si="106" ref="W211:W220">SUM(I211:V211)</f>
        <v>0</v>
      </c>
    </row>
    <row r="212" spans="5:23" ht="14.5">
      <c r="E212" s="214">
        <v>45352</v>
      </c>
      <c r="F212" s="214" t="s">
        <v>740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ht="14.5">
      <c r="E213" s="214">
        <v>45383</v>
      </c>
      <c r="F213" s="214" t="s">
        <v>740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ht="14.5">
      <c r="E214" s="214">
        <v>45413</v>
      </c>
      <c r="F214" s="214" t="s">
        <v>740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ht="14.5">
      <c r="E215" s="214">
        <v>45444</v>
      </c>
      <c r="F215" s="214" t="s">
        <v>740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ht="14.5">
      <c r="E216" s="214">
        <v>45474</v>
      </c>
      <c r="F216" s="214" t="s">
        <v>740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ht="14.5">
      <c r="E217" s="214">
        <v>45505</v>
      </c>
      <c r="F217" s="214" t="s">
        <v>740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ht="14.5">
      <c r="E218" s="214">
        <v>45536</v>
      </c>
      <c r="F218" s="214" t="s">
        <v>740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ht="14.5">
      <c r="E219" s="214">
        <v>45566</v>
      </c>
      <c r="F219" s="214" t="s">
        <v>740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ht="14.5">
      <c r="E220" s="214">
        <v>45597</v>
      </c>
      <c r="F220" s="214" t="s">
        <v>740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ht="14.5">
      <c r="E221" s="214">
        <v>45627</v>
      </c>
      <c r="F221" s="214" t="s">
        <v>740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738</v>
      </c>
      <c r="F222" s="216"/>
      <c r="G222" s="217"/>
      <c r="H222" s="218"/>
      <c r="I222" s="219">
        <f>SUM(I209:I221)</f>
        <v>10299.102433618413</v>
      </c>
      <c r="J222" s="219">
        <f>SUM(J209:J221)</f>
        <v>6970.4416227476995</v>
      </c>
      <c r="K222" s="219">
        <f t="shared" si="107" ref="K222:V222">SUM(K209:K221)</f>
        <v>2557.8260142545346</v>
      </c>
      <c r="L222" s="219">
        <f t="shared" si="107"/>
        <v>1954.4843743759639</v>
      </c>
      <c r="M222" s="219">
        <f t="shared" si="107"/>
        <v>0</v>
      </c>
      <c r="N222" s="219">
        <f t="shared" si="107"/>
        <v>0</v>
      </c>
      <c r="O222" s="219">
        <f t="shared" si="107"/>
        <v>-874.37472369209672</v>
      </c>
      <c r="P222" s="219">
        <f t="shared" si="107"/>
        <v>0</v>
      </c>
      <c r="Q222" s="219">
        <f t="shared" si="107"/>
        <v>0</v>
      </c>
      <c r="R222" s="219">
        <f t="shared" si="107"/>
        <v>0</v>
      </c>
      <c r="S222" s="219">
        <f t="shared" si="107"/>
        <v>0</v>
      </c>
      <c r="T222" s="219">
        <f t="shared" si="107"/>
        <v>0</v>
      </c>
      <c r="U222" s="219">
        <f t="shared" si="107"/>
        <v>0</v>
      </c>
      <c r="V222" s="219">
        <f t="shared" si="107"/>
        <v>0</v>
      </c>
      <c r="W222" s="219">
        <f>SUM(W209:W221)</f>
        <v>20907.479721304502</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ht="14.5">
      <c r="E224" s="225" t="s">
        <v>737</v>
      </c>
      <c r="F224" s="225"/>
      <c r="G224" s="226"/>
      <c r="H224" s="227"/>
      <c r="I224" s="228">
        <f>I222+I223</f>
        <v>10299.102433618413</v>
      </c>
      <c r="J224" s="228">
        <f t="shared" si="108" ref="J224:U224">J222+J223</f>
        <v>6970.4416227476995</v>
      </c>
      <c r="K224" s="228">
        <f t="shared" si="108"/>
        <v>2557.8260142545346</v>
      </c>
      <c r="L224" s="228">
        <f t="shared" si="108"/>
        <v>1954.4843743759639</v>
      </c>
      <c r="M224" s="228">
        <f t="shared" si="108"/>
        <v>0</v>
      </c>
      <c r="N224" s="228">
        <f t="shared" si="108"/>
        <v>0</v>
      </c>
      <c r="O224" s="228">
        <f t="shared" si="108"/>
        <v>-874.37472369209672</v>
      </c>
      <c r="P224" s="228">
        <f t="shared" si="108"/>
        <v>0</v>
      </c>
      <c r="Q224" s="228">
        <f t="shared" si="108"/>
        <v>0</v>
      </c>
      <c r="R224" s="228">
        <f t="shared" si="108"/>
        <v>0</v>
      </c>
      <c r="S224" s="228">
        <f t="shared" si="108"/>
        <v>0</v>
      </c>
      <c r="T224" s="228">
        <f t="shared" si="108"/>
        <v>0</v>
      </c>
      <c r="U224" s="228">
        <f t="shared" si="108"/>
        <v>0</v>
      </c>
      <c r="V224" s="228">
        <f>V222+V223</f>
        <v>0</v>
      </c>
      <c r="W224" s="228">
        <f>W222+W223</f>
        <v>20907.479721304502</v>
      </c>
    </row>
    <row r="225" spans="5:23" ht="14.5">
      <c r="E225" s="214">
        <v>45658</v>
      </c>
      <c r="F225" s="214" t="s">
        <v>741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ht="14.5">
      <c r="E226" s="214">
        <v>45689</v>
      </c>
      <c r="F226" s="214" t="s">
        <v>741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si="109" ref="W226:W235">SUM(I226:V226)</f>
        <v>0</v>
      </c>
    </row>
    <row r="227" spans="5:23" ht="14.5">
      <c r="E227" s="214">
        <v>45717</v>
      </c>
      <c r="F227" s="214" t="s">
        <v>741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ht="14.5">
      <c r="E228" s="214">
        <v>45748</v>
      </c>
      <c r="F228" s="214" t="s">
        <v>741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ht="14.5">
      <c r="E229" s="214">
        <v>45778</v>
      </c>
      <c r="F229" s="214" t="s">
        <v>741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ht="14.5">
      <c r="E230" s="214">
        <v>45809</v>
      </c>
      <c r="F230" s="214" t="s">
        <v>741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ht="14.5">
      <c r="E231" s="214">
        <v>45839</v>
      </c>
      <c r="F231" s="214" t="s">
        <v>741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ht="14.5">
      <c r="E232" s="214">
        <v>45870</v>
      </c>
      <c r="F232" s="214" t="s">
        <v>741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ht="14.5">
      <c r="E233" s="214">
        <v>45901</v>
      </c>
      <c r="F233" s="214" t="s">
        <v>741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ht="14.5">
      <c r="E234" s="214">
        <v>45931</v>
      </c>
      <c r="F234" s="214" t="s">
        <v>741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ht="14.5">
      <c r="E235" s="214">
        <v>45962</v>
      </c>
      <c r="F235" s="214" t="s">
        <v>741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ht="14.5">
      <c r="E236" s="214">
        <v>45992</v>
      </c>
      <c r="F236" s="214" t="s">
        <v>741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739</v>
      </c>
      <c r="F237" s="216"/>
      <c r="G237" s="217"/>
      <c r="H237" s="218"/>
      <c r="I237" s="219">
        <f>SUM(I224:I236)</f>
        <v>10299.102433618413</v>
      </c>
      <c r="J237" s="219">
        <f>SUM(J224:J236)</f>
        <v>6970.4416227476995</v>
      </c>
      <c r="K237" s="219">
        <f t="shared" si="110" ref="K237:U237">SUM(K224:K236)</f>
        <v>2557.8260142545346</v>
      </c>
      <c r="L237" s="219">
        <f t="shared" si="110"/>
        <v>1954.4843743759639</v>
      </c>
      <c r="M237" s="219">
        <f>SUM(M224:M236)</f>
        <v>0</v>
      </c>
      <c r="N237" s="219">
        <f t="shared" si="110"/>
        <v>0</v>
      </c>
      <c r="O237" s="219">
        <f t="shared" si="110"/>
        <v>-874.37472369209672</v>
      </c>
      <c r="P237" s="219">
        <f t="shared" si="110"/>
        <v>0</v>
      </c>
      <c r="Q237" s="219">
        <f t="shared" si="110"/>
        <v>0</v>
      </c>
      <c r="R237" s="219">
        <f t="shared" si="110"/>
        <v>0</v>
      </c>
      <c r="S237" s="219">
        <f t="shared" si="110"/>
        <v>0</v>
      </c>
      <c r="T237" s="219">
        <f t="shared" si="110"/>
        <v>0</v>
      </c>
      <c r="U237" s="219">
        <f t="shared" si="110"/>
        <v>0</v>
      </c>
      <c r="V237" s="219">
        <f>SUM(V224:V236)</f>
        <v>0</v>
      </c>
      <c r="W237" s="219">
        <f>SUM(W224:W236)</f>
        <v>20907.479721304502</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mergeCells count="4">
    <mergeCell ref="B12:C12"/>
    <mergeCell ref="C8:S8"/>
    <mergeCell ref="C9:S9"/>
    <mergeCell ref="C10:S10"/>
  </mergeCells>
  <hyperlinks>
    <hyperlink ref="B77" r:id="rId1" display="Check OEB website"/>
    <hyperlink ref="K12" location="Table_1_b.__Annual_LRAMVA_Breakdown_by_Year_and_Rate_Class" display="Go to Tab 1: Summary"/>
  </hyperlinks>
  <pageMargins left="0.7" right="0.7" top="0.75" bottom="0.75" header="0.3" footer="0.3"/>
  <pageSetup fitToHeight="0" orientation="landscape" scale="35" r:id="rId3"/>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96"/>
  <sheetViews>
    <sheetView zoomScale="90" zoomScaleNormal="90" workbookViewId="0" topLeftCell="F118">
      <selection pane="topLeft" activeCell="I147" sqref="I147"/>
    </sheetView>
  </sheetViews>
  <sheetFormatPr defaultColWidth="9.00428571428571" defaultRowHeight="14.5" outlineLevelRow="1"/>
  <cols>
    <col min="1" max="1" width="6" style="12" customWidth="1"/>
    <col min="2" max="2" width="24.4285714285714" style="12" customWidth="1"/>
    <col min="3" max="3" width="11.4285714285714" style="12" customWidth="1"/>
    <col min="4" max="4" width="37.5714285714286" style="12" customWidth="1"/>
    <col min="5" max="5" width="35" style="12" bestFit="1" customWidth="1"/>
    <col min="6" max="6" width="26.5714285714286" style="12" customWidth="1"/>
    <col min="7" max="7" width="17" style="12" customWidth="1"/>
    <col min="8" max="8" width="19.4285714285714" style="12" customWidth="1"/>
    <col min="9" max="10" width="23" style="627" customWidth="1"/>
    <col min="11" max="11" width="2" style="16" customWidth="1"/>
    <col min="12" max="24" width="9" style="12"/>
    <col min="25" max="25" width="11.1428571428571" style="12" bestFit="1" customWidth="1"/>
    <col min="26" max="41" width="9" style="12"/>
    <col min="42" max="42" width="2" style="12" customWidth="1"/>
    <col min="43" max="43" width="12.5714285714286" style="12" customWidth="1"/>
    <col min="44" max="64" width="12" style="12" bestFit="1" customWidth="1"/>
    <col min="65" max="72" width="9" style="12"/>
    <col min="73" max="73" width="9" style="16"/>
    <col min="74" max="16384" width="9" style="12"/>
  </cols>
  <sheetData>
    <row r="1" spans="9:10" ht="14.5">
      <c r="I1" s="12"/>
      <c r="J1" s="12"/>
    </row>
    <row r="2" spans="9:10" ht="14.5">
      <c r="I2" s="12"/>
      <c r="J2" s="12"/>
    </row>
    <row r="3" spans="9:10" ht="14.5">
      <c r="I3" s="12"/>
      <c r="J3" s="12"/>
    </row>
    <row r="4" spans="9:10" ht="14.5">
      <c r="I4" s="12"/>
      <c r="J4" s="12"/>
    </row>
    <row r="5" spans="9:10" ht="14.5">
      <c r="I5" s="12"/>
      <c r="J5" s="12"/>
    </row>
    <row r="6" spans="9:10" ht="14.5">
      <c r="I6" s="12"/>
      <c r="J6" s="12"/>
    </row>
    <row r="7" spans="9:10" ht="14.5">
      <c r="I7" s="12"/>
      <c r="J7" s="12"/>
    </row>
    <row r="8" spans="9:10" ht="14.5">
      <c r="I8" s="12"/>
      <c r="J8" s="12"/>
    </row>
    <row r="9" spans="9:10" ht="14.5">
      <c r="I9" s="12"/>
      <c r="J9" s="12"/>
    </row>
    <row r="10" spans="9:10" ht="14.5">
      <c r="I10" s="12"/>
      <c r="J10" s="12"/>
    </row>
    <row r="11" spans="9:10" ht="15" thickBot="1">
      <c r="I11" s="12"/>
      <c r="J11" s="12"/>
    </row>
    <row r="12" spans="2:17" s="9" customFormat="1" ht="25.5" customHeight="1" outlineLevel="1" thickBot="1">
      <c r="B12" s="119" t="s">
        <v>171</v>
      </c>
      <c r="D12" s="126" t="s">
        <v>175</v>
      </c>
      <c r="E12" s="17"/>
      <c r="F12" s="177"/>
      <c r="G12" s="178"/>
      <c r="H12" s="179"/>
      <c r="K12" s="179"/>
      <c r="L12" s="177"/>
      <c r="M12" s="177"/>
      <c r="N12" s="177"/>
      <c r="O12" s="177"/>
      <c r="P12" s="177"/>
      <c r="Q12" s="180"/>
    </row>
    <row r="13" spans="2:17" s="9" customFormat="1" ht="25.5" customHeight="1" outlineLevel="1" thickBot="1">
      <c r="B13" s="544"/>
      <c r="D13" s="629" t="s">
        <v>406</v>
      </c>
      <c r="E13" s="17"/>
      <c r="F13" s="177"/>
      <c r="G13" s="178"/>
      <c r="H13" s="179"/>
      <c r="K13" s="179"/>
      <c r="L13" s="177"/>
      <c r="M13" s="177"/>
      <c r="N13" s="177"/>
      <c r="O13" s="177"/>
      <c r="P13" s="177"/>
      <c r="Q13" s="180"/>
    </row>
    <row r="14" spans="2:10 73:73" ht="30" customHeight="1" outlineLevel="1" thickBot="1">
      <c r="B14" s="90"/>
      <c r="D14" s="603" t="s">
        <v>550</v>
      </c>
      <c r="I14" s="12"/>
      <c r="J14" s="12"/>
      <c r="BU14" s="12"/>
    </row>
    <row r="15" spans="3:10" ht="26.25" customHeight="1" outlineLevel="1">
      <c r="C15" s="90"/>
      <c r="I15" s="12"/>
      <c r="J15" s="12"/>
    </row>
    <row r="16" spans="2:33" ht="23.25" customHeight="1" outlineLevel="1">
      <c r="B16" s="116" t="s">
        <v>504</v>
      </c>
      <c r="C16" s="90"/>
      <c r="D16" s="608" t="s">
        <v>613</v>
      </c>
      <c r="E16" s="598"/>
      <c r="F16" s="598"/>
      <c r="G16" s="609"/>
      <c r="H16" s="598"/>
      <c r="I16" s="598"/>
      <c r="J16" s="598"/>
      <c r="K16" s="632"/>
      <c r="L16" s="598"/>
      <c r="M16" s="598"/>
      <c r="N16" s="598"/>
      <c r="O16" s="598"/>
      <c r="P16" s="598"/>
      <c r="Q16" s="598"/>
      <c r="R16" s="598"/>
      <c r="S16" s="598"/>
      <c r="T16" s="598"/>
      <c r="U16" s="598"/>
      <c r="V16" s="598"/>
      <c r="W16" s="598"/>
      <c r="X16" s="598"/>
      <c r="Y16" s="598"/>
      <c r="Z16" s="598"/>
      <c r="AA16" s="598"/>
      <c r="AB16" s="598"/>
      <c r="AC16" s="598"/>
      <c r="AD16" s="598"/>
      <c r="AE16" s="598"/>
      <c r="AF16" s="598"/>
      <c r="AG16" s="598"/>
    </row>
    <row r="17" spans="2:33" ht="23.25" customHeight="1" outlineLevel="1">
      <c r="B17" s="682" t="s">
        <v>607</v>
      </c>
      <c r="C17" s="90"/>
      <c r="D17" s="604" t="s">
        <v>585</v>
      </c>
      <c r="E17" s="598"/>
      <c r="F17" s="598"/>
      <c r="G17" s="609"/>
      <c r="H17" s="598"/>
      <c r="I17" s="598"/>
      <c r="J17" s="598"/>
      <c r="K17" s="632"/>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3:33" ht="23.25" customHeight="1" outlineLevel="1">
      <c r="C18" s="90"/>
      <c r="D18" s="604" t="s">
        <v>620</v>
      </c>
      <c r="E18" s="598"/>
      <c r="F18" s="598"/>
      <c r="G18" s="609"/>
      <c r="H18" s="598"/>
      <c r="I18" s="598"/>
      <c r="J18" s="598"/>
      <c r="K18" s="632"/>
      <c r="L18" s="598"/>
      <c r="M18" s="598"/>
      <c r="N18" s="598"/>
      <c r="O18" s="598"/>
      <c r="P18" s="598"/>
      <c r="Q18" s="598"/>
      <c r="R18" s="598"/>
      <c r="S18" s="598"/>
      <c r="T18" s="598"/>
      <c r="U18" s="598"/>
      <c r="V18" s="598"/>
      <c r="W18" s="598"/>
      <c r="X18" s="598"/>
      <c r="Y18" s="598"/>
      <c r="Z18" s="598"/>
      <c r="AA18" s="598"/>
      <c r="AB18" s="598"/>
      <c r="AC18" s="598"/>
      <c r="AD18" s="598"/>
      <c r="AE18" s="598"/>
      <c r="AF18" s="598"/>
      <c r="AG18" s="598"/>
    </row>
    <row r="19" spans="3:33" ht="23.25" customHeight="1" outlineLevel="1">
      <c r="C19" s="90"/>
      <c r="D19" s="604" t="s">
        <v>619</v>
      </c>
      <c r="E19" s="598"/>
      <c r="F19" s="598"/>
      <c r="G19" s="609"/>
      <c r="H19" s="598"/>
      <c r="I19" s="598"/>
      <c r="J19" s="598"/>
      <c r="K19" s="632"/>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3:33" ht="23.25" customHeight="1" outlineLevel="1">
      <c r="C20" s="90"/>
      <c r="D20" s="604" t="s">
        <v>621</v>
      </c>
      <c r="E20" s="598"/>
      <c r="F20" s="598"/>
      <c r="G20" s="609"/>
      <c r="H20" s="598"/>
      <c r="I20" s="598"/>
      <c r="J20" s="598"/>
      <c r="K20" s="632"/>
      <c r="L20" s="598"/>
      <c r="M20" s="598"/>
      <c r="N20" s="598"/>
      <c r="O20" s="598"/>
      <c r="P20" s="598"/>
      <c r="Q20" s="598"/>
      <c r="R20" s="598"/>
      <c r="S20" s="598"/>
      <c r="T20" s="598"/>
      <c r="U20" s="598"/>
      <c r="V20" s="598"/>
      <c r="W20" s="598"/>
      <c r="X20" s="598"/>
      <c r="Y20" s="598"/>
      <c r="Z20" s="598"/>
      <c r="AA20" s="598"/>
      <c r="AB20" s="598"/>
      <c r="AC20" s="598"/>
      <c r="AD20" s="598"/>
      <c r="AE20" s="598"/>
      <c r="AF20" s="598"/>
      <c r="AG20" s="598"/>
    </row>
    <row r="21" spans="3:33" ht="23.25" customHeight="1" outlineLevel="1">
      <c r="C21" s="90"/>
      <c r="D21" s="685" t="s">
        <v>631</v>
      </c>
      <c r="E21" s="598"/>
      <c r="F21" s="598"/>
      <c r="G21" s="609"/>
      <c r="H21" s="598"/>
      <c r="I21" s="598"/>
      <c r="J21" s="598"/>
      <c r="K21" s="632"/>
      <c r="L21" s="598"/>
      <c r="M21" s="598"/>
      <c r="N21" s="598"/>
      <c r="O21" s="598"/>
      <c r="P21" s="598"/>
      <c r="Q21" s="598"/>
      <c r="R21" s="598"/>
      <c r="S21" s="598"/>
      <c r="T21" s="598"/>
      <c r="U21" s="598"/>
      <c r="V21" s="598"/>
      <c r="W21" s="598"/>
      <c r="X21" s="598"/>
      <c r="Y21" s="598"/>
      <c r="Z21" s="598"/>
      <c r="AA21" s="598"/>
      <c r="AB21" s="598"/>
      <c r="AC21" s="598"/>
      <c r="AD21" s="598"/>
      <c r="AE21" s="598"/>
      <c r="AF21" s="598"/>
      <c r="AG21" s="598"/>
    </row>
    <row r="22" spans="9:10" ht="14.5">
      <c r="I22" s="12"/>
      <c r="J22" s="12"/>
    </row>
    <row r="23" spans="2:10" ht="15.5">
      <c r="B23" s="182" t="s">
        <v>590</v>
      </c>
      <c r="H23" s="10"/>
      <c r="I23" s="10"/>
      <c r="J23" s="10"/>
    </row>
    <row r="24" spans="2:12 43:43 73:73" s="662" customFormat="1" ht="21" customHeight="1">
      <c r="B24" s="684" t="s">
        <v>594</v>
      </c>
      <c r="C24" s="915" t="s">
        <v>595</v>
      </c>
      <c r="D24" s="915"/>
      <c r="E24" s="915"/>
      <c r="F24" s="915"/>
      <c r="G24" s="915"/>
      <c r="H24" s="670" t="s">
        <v>592</v>
      </c>
      <c r="I24" s="670" t="s">
        <v>591</v>
      </c>
      <c r="J24" s="670" t="s">
        <v>593</v>
      </c>
      <c r="K24" s="661"/>
      <c r="L24" s="662" t="s">
        <v>595</v>
      </c>
      <c r="AQ24" s="662" t="s">
        <v>595</v>
      </c>
      <c r="BU24" s="661"/>
    </row>
    <row r="25" spans="2:73" s="250" customFormat="1" ht="49.5" customHeight="1">
      <c r="B25" s="245" t="s">
        <v>472</v>
      </c>
      <c r="C25" s="245" t="s">
        <v>211</v>
      </c>
      <c r="D25" s="621" t="s">
        <v>473</v>
      </c>
      <c r="E25" s="245" t="s">
        <v>208</v>
      </c>
      <c r="F25" s="245" t="s">
        <v>474</v>
      </c>
      <c r="G25" s="245" t="s">
        <v>475</v>
      </c>
      <c r="H25" s="621" t="s">
        <v>476</v>
      </c>
      <c r="I25" s="628" t="s">
        <v>583</v>
      </c>
      <c r="J25" s="635" t="s">
        <v>584</v>
      </c>
      <c r="K25" s="633"/>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3"/>
      <c r="I26" s="626"/>
      <c r="J26" s="626"/>
      <c r="K26" s="634"/>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737" t="s">
        <v>743</v>
      </c>
      <c r="C27" s="737" t="s">
        <v>744</v>
      </c>
      <c r="D27" s="737" t="s">
        <v>2</v>
      </c>
      <c r="E27" s="737" t="s">
        <v>745</v>
      </c>
      <c r="F27" s="737" t="s">
        <v>29</v>
      </c>
      <c r="G27" s="737" t="s">
        <v>746</v>
      </c>
      <c r="H27" s="737">
        <v>2011</v>
      </c>
      <c r="I27" s="636" t="s">
        <v>571</v>
      </c>
      <c r="J27" s="636" t="s">
        <v>589</v>
      </c>
      <c r="K27" s="50"/>
      <c r="L27" s="738">
        <v>1.15898497970758</v>
      </c>
      <c r="M27" s="739">
        <v>1.15898497970758</v>
      </c>
      <c r="N27" s="739">
        <v>1.15898497970758</v>
      </c>
      <c r="O27" s="739">
        <v>0.17483904409957066</v>
      </c>
      <c r="P27" s="739">
        <v>0</v>
      </c>
      <c r="Q27" s="739">
        <v>0</v>
      </c>
      <c r="R27" s="739">
        <v>0</v>
      </c>
      <c r="S27" s="739">
        <v>0</v>
      </c>
      <c r="T27" s="739">
        <v>0</v>
      </c>
      <c r="U27" s="739">
        <v>0</v>
      </c>
      <c r="V27" s="739">
        <v>0</v>
      </c>
      <c r="W27" s="739">
        <v>0</v>
      </c>
      <c r="X27" s="739">
        <v>0</v>
      </c>
      <c r="Y27" s="739">
        <v>0</v>
      </c>
      <c r="Z27" s="739">
        <v>0</v>
      </c>
      <c r="AA27" s="739">
        <v>0</v>
      </c>
      <c r="AB27" s="739">
        <v>0</v>
      </c>
      <c r="AC27" s="739">
        <v>0</v>
      </c>
      <c r="AD27" s="739">
        <v>0</v>
      </c>
      <c r="AE27" s="739">
        <v>0</v>
      </c>
      <c r="AF27" s="739">
        <v>0</v>
      </c>
      <c r="AG27" s="739">
        <v>0</v>
      </c>
      <c r="AH27" s="739">
        <v>0</v>
      </c>
      <c r="AI27" s="739">
        <v>0</v>
      </c>
      <c r="AJ27" s="739">
        <v>0</v>
      </c>
      <c r="AK27" s="739">
        <v>0</v>
      </c>
      <c r="AL27" s="739">
        <v>0</v>
      </c>
      <c r="AM27" s="739">
        <v>0</v>
      </c>
      <c r="AN27" s="739">
        <v>0</v>
      </c>
      <c r="AO27" s="740">
        <v>0</v>
      </c>
      <c r="AP27" s="50"/>
      <c r="AQ27" s="738">
        <v>1191.8256694305676</v>
      </c>
      <c r="AR27" s="739">
        <v>1191.8256694305676</v>
      </c>
      <c r="AS27" s="739">
        <v>1191.8256694305676</v>
      </c>
      <c r="AT27" s="739">
        <v>311.74881627297452</v>
      </c>
      <c r="AU27" s="739">
        <v>0</v>
      </c>
      <c r="AV27" s="739">
        <v>0</v>
      </c>
      <c r="AW27" s="739">
        <v>0</v>
      </c>
      <c r="AX27" s="739">
        <v>0</v>
      </c>
      <c r="AY27" s="739">
        <v>0</v>
      </c>
      <c r="AZ27" s="739">
        <v>0</v>
      </c>
      <c r="BA27" s="739">
        <v>0</v>
      </c>
      <c r="BB27" s="739">
        <v>0</v>
      </c>
      <c r="BC27" s="739">
        <v>0</v>
      </c>
      <c r="BD27" s="739">
        <v>0</v>
      </c>
      <c r="BE27" s="739">
        <v>0</v>
      </c>
      <c r="BF27" s="739">
        <v>0</v>
      </c>
      <c r="BG27" s="739">
        <v>0</v>
      </c>
      <c r="BH27" s="739">
        <v>0</v>
      </c>
      <c r="BI27" s="739">
        <v>0</v>
      </c>
      <c r="BJ27" s="739">
        <v>0</v>
      </c>
      <c r="BK27" s="739">
        <v>0</v>
      </c>
      <c r="BL27" s="739">
        <v>0</v>
      </c>
      <c r="BM27" s="739">
        <v>0</v>
      </c>
      <c r="BN27" s="739">
        <v>0</v>
      </c>
      <c r="BO27" s="739">
        <v>0</v>
      </c>
      <c r="BP27" s="739">
        <v>0</v>
      </c>
      <c r="BQ27" s="739">
        <v>0</v>
      </c>
      <c r="BR27" s="739">
        <v>0</v>
      </c>
      <c r="BS27" s="739">
        <v>0</v>
      </c>
      <c r="BT27" s="740">
        <v>0</v>
      </c>
      <c r="BU27" s="16"/>
    </row>
    <row r="28" spans="2:73" s="17" customFormat="1" ht="15.5">
      <c r="B28" s="737" t="s">
        <v>743</v>
      </c>
      <c r="C28" s="737" t="s">
        <v>744</v>
      </c>
      <c r="D28" s="737" t="s">
        <v>1</v>
      </c>
      <c r="E28" s="737" t="s">
        <v>745</v>
      </c>
      <c r="F28" s="737" t="s">
        <v>29</v>
      </c>
      <c r="G28" s="737" t="s">
        <v>746</v>
      </c>
      <c r="H28" s="737">
        <v>2011</v>
      </c>
      <c r="I28" s="636" t="s">
        <v>571</v>
      </c>
      <c r="J28" s="636" t="s">
        <v>589</v>
      </c>
      <c r="K28" s="50"/>
      <c r="L28" s="738">
        <v>13.143572862414077</v>
      </c>
      <c r="M28" s="739">
        <v>13.143572862414077</v>
      </c>
      <c r="N28" s="739">
        <v>13.143572862414077</v>
      </c>
      <c r="O28" s="739">
        <v>12.691103462922259</v>
      </c>
      <c r="P28" s="739">
        <v>8.6332304347704252</v>
      </c>
      <c r="Q28" s="739">
        <v>0</v>
      </c>
      <c r="R28" s="739">
        <v>0</v>
      </c>
      <c r="S28" s="739">
        <v>0</v>
      </c>
      <c r="T28" s="739">
        <v>0</v>
      </c>
      <c r="U28" s="739">
        <v>0</v>
      </c>
      <c r="V28" s="739">
        <v>0</v>
      </c>
      <c r="W28" s="739">
        <v>0</v>
      </c>
      <c r="X28" s="739">
        <v>0</v>
      </c>
      <c r="Y28" s="739">
        <v>0</v>
      </c>
      <c r="Z28" s="739">
        <v>0</v>
      </c>
      <c r="AA28" s="739">
        <v>0</v>
      </c>
      <c r="AB28" s="739">
        <v>0</v>
      </c>
      <c r="AC28" s="739">
        <v>0</v>
      </c>
      <c r="AD28" s="739">
        <v>0</v>
      </c>
      <c r="AE28" s="739">
        <v>0</v>
      </c>
      <c r="AF28" s="739">
        <v>0</v>
      </c>
      <c r="AG28" s="739">
        <v>0</v>
      </c>
      <c r="AH28" s="739">
        <v>0</v>
      </c>
      <c r="AI28" s="739">
        <v>0</v>
      </c>
      <c r="AJ28" s="739">
        <v>0</v>
      </c>
      <c r="AK28" s="739">
        <v>0</v>
      </c>
      <c r="AL28" s="739">
        <v>0</v>
      </c>
      <c r="AM28" s="739">
        <v>0</v>
      </c>
      <c r="AN28" s="739">
        <v>0</v>
      </c>
      <c r="AO28" s="740">
        <v>0</v>
      </c>
      <c r="AP28" s="50"/>
      <c r="AQ28" s="738">
        <v>94293.954810742347</v>
      </c>
      <c r="AR28" s="739">
        <v>94293.954810742347</v>
      </c>
      <c r="AS28" s="739">
        <v>94293.954810742347</v>
      </c>
      <c r="AT28" s="739">
        <v>93889.332050187164</v>
      </c>
      <c r="AU28" s="739">
        <v>65662.06723699157</v>
      </c>
      <c r="AV28" s="739">
        <v>0</v>
      </c>
      <c r="AW28" s="739">
        <v>0</v>
      </c>
      <c r="AX28" s="739">
        <v>0</v>
      </c>
      <c r="AY28" s="739">
        <v>0</v>
      </c>
      <c r="AZ28" s="739">
        <v>0</v>
      </c>
      <c r="BA28" s="739">
        <v>0</v>
      </c>
      <c r="BB28" s="739">
        <v>0</v>
      </c>
      <c r="BC28" s="739">
        <v>0</v>
      </c>
      <c r="BD28" s="739">
        <v>0</v>
      </c>
      <c r="BE28" s="739">
        <v>0</v>
      </c>
      <c r="BF28" s="739">
        <v>0</v>
      </c>
      <c r="BG28" s="739">
        <v>0</v>
      </c>
      <c r="BH28" s="739">
        <v>0</v>
      </c>
      <c r="BI28" s="739">
        <v>0</v>
      </c>
      <c r="BJ28" s="739">
        <v>0</v>
      </c>
      <c r="BK28" s="739">
        <v>0</v>
      </c>
      <c r="BL28" s="739">
        <v>0</v>
      </c>
      <c r="BM28" s="739">
        <v>0</v>
      </c>
      <c r="BN28" s="739">
        <v>0</v>
      </c>
      <c r="BO28" s="739">
        <v>0</v>
      </c>
      <c r="BP28" s="739">
        <v>0</v>
      </c>
      <c r="BQ28" s="739">
        <v>0</v>
      </c>
      <c r="BR28" s="739">
        <v>0</v>
      </c>
      <c r="BS28" s="739">
        <v>0</v>
      </c>
      <c r="BT28" s="740">
        <v>0</v>
      </c>
      <c r="BU28" s="16"/>
    </row>
    <row r="29" spans="2:73" s="17" customFormat="1" ht="16.5" customHeight="1">
      <c r="B29" s="737" t="s">
        <v>743</v>
      </c>
      <c r="C29" s="737" t="s">
        <v>744</v>
      </c>
      <c r="D29" s="737" t="s">
        <v>5</v>
      </c>
      <c r="E29" s="737" t="s">
        <v>745</v>
      </c>
      <c r="F29" s="737" t="s">
        <v>29</v>
      </c>
      <c r="G29" s="737" t="s">
        <v>746</v>
      </c>
      <c r="H29" s="737">
        <v>2011</v>
      </c>
      <c r="I29" s="636" t="s">
        <v>571</v>
      </c>
      <c r="J29" s="636" t="s">
        <v>589</v>
      </c>
      <c r="K29" s="50"/>
      <c r="L29" s="738">
        <v>9.2056720221538342</v>
      </c>
      <c r="M29" s="739">
        <v>9.2056720221538342</v>
      </c>
      <c r="N29" s="739">
        <v>9.2056720221538342</v>
      </c>
      <c r="O29" s="739">
        <v>9.2056720221538342</v>
      </c>
      <c r="P29" s="739">
        <v>8.5644545974788038</v>
      </c>
      <c r="Q29" s="739">
        <v>7.8639515709887728</v>
      </c>
      <c r="R29" s="739">
        <v>6.3610146855747889</v>
      </c>
      <c r="S29" s="739">
        <v>6.3195989840675342</v>
      </c>
      <c r="T29" s="739">
        <v>7.6613194352325964</v>
      </c>
      <c r="U29" s="739">
        <v>3.6342716373239101</v>
      </c>
      <c r="V29" s="739">
        <v>0.51682807847110401</v>
      </c>
      <c r="W29" s="739">
        <v>0.51661310299359453</v>
      </c>
      <c r="X29" s="739">
        <v>0.51661310299359453</v>
      </c>
      <c r="Y29" s="739">
        <v>0.47950849413533125</v>
      </c>
      <c r="Z29" s="739">
        <v>0.47950849413533125</v>
      </c>
      <c r="AA29" s="739">
        <v>0.40472294452098118</v>
      </c>
      <c r="AB29" s="739">
        <v>0</v>
      </c>
      <c r="AC29" s="739">
        <v>0</v>
      </c>
      <c r="AD29" s="739">
        <v>0</v>
      </c>
      <c r="AE29" s="739">
        <v>0</v>
      </c>
      <c r="AF29" s="739">
        <v>0</v>
      </c>
      <c r="AG29" s="739">
        <v>0</v>
      </c>
      <c r="AH29" s="739">
        <v>0</v>
      </c>
      <c r="AI29" s="739">
        <v>0</v>
      </c>
      <c r="AJ29" s="739">
        <v>0</v>
      </c>
      <c r="AK29" s="739">
        <v>0</v>
      </c>
      <c r="AL29" s="739">
        <v>0</v>
      </c>
      <c r="AM29" s="739">
        <v>0</v>
      </c>
      <c r="AN29" s="739">
        <v>0</v>
      </c>
      <c r="AO29" s="740">
        <v>0</v>
      </c>
      <c r="AP29" s="50"/>
      <c r="AQ29" s="738">
        <v>160889.03977032742</v>
      </c>
      <c r="AR29" s="739">
        <v>160889.03977032742</v>
      </c>
      <c r="AS29" s="739">
        <v>160889.03977032742</v>
      </c>
      <c r="AT29" s="739">
        <v>160889.03977032742</v>
      </c>
      <c r="AU29" s="739">
        <v>147040.73370669939</v>
      </c>
      <c r="AV29" s="739">
        <v>131912.04266364471</v>
      </c>
      <c r="AW29" s="739">
        <v>99453.270985571769</v>
      </c>
      <c r="AX29" s="739">
        <v>99090.469440368208</v>
      </c>
      <c r="AY29" s="739">
        <v>128067.46654705094</v>
      </c>
      <c r="AZ29" s="739">
        <v>41095.733883107736</v>
      </c>
      <c r="BA29" s="739">
        <v>14797.244230862518</v>
      </c>
      <c r="BB29" s="739">
        <v>13025.600371925431</v>
      </c>
      <c r="BC29" s="739">
        <v>13025.600371925431</v>
      </c>
      <c r="BD29" s="739">
        <v>9619.9529718551094</v>
      </c>
      <c r="BE29" s="739">
        <v>9619.9529718551094</v>
      </c>
      <c r="BF29" s="739">
        <v>8740.7593602743837</v>
      </c>
      <c r="BG29" s="739">
        <v>0</v>
      </c>
      <c r="BH29" s="739">
        <v>0</v>
      </c>
      <c r="BI29" s="739">
        <v>0</v>
      </c>
      <c r="BJ29" s="739">
        <v>0</v>
      </c>
      <c r="BK29" s="739">
        <v>0</v>
      </c>
      <c r="BL29" s="739">
        <v>0</v>
      </c>
      <c r="BM29" s="739">
        <v>0</v>
      </c>
      <c r="BN29" s="739">
        <v>0</v>
      </c>
      <c r="BO29" s="739">
        <v>0</v>
      </c>
      <c r="BP29" s="739">
        <v>0</v>
      </c>
      <c r="BQ29" s="739">
        <v>0</v>
      </c>
      <c r="BR29" s="739">
        <v>0</v>
      </c>
      <c r="BS29" s="739">
        <v>0</v>
      </c>
      <c r="BT29" s="740">
        <v>0</v>
      </c>
      <c r="BU29" s="16"/>
    </row>
    <row r="30" spans="2:73" s="17" customFormat="1" ht="15.5">
      <c r="B30" s="737" t="s">
        <v>743</v>
      </c>
      <c r="C30" s="737" t="s">
        <v>744</v>
      </c>
      <c r="D30" s="737" t="s">
        <v>4</v>
      </c>
      <c r="E30" s="737" t="s">
        <v>745</v>
      </c>
      <c r="F30" s="737" t="s">
        <v>29</v>
      </c>
      <c r="G30" s="737" t="s">
        <v>746</v>
      </c>
      <c r="H30" s="737">
        <v>2011</v>
      </c>
      <c r="I30" s="636" t="s">
        <v>571</v>
      </c>
      <c r="J30" s="636" t="s">
        <v>589</v>
      </c>
      <c r="K30" s="50"/>
      <c r="L30" s="738">
        <v>6.4310738102669633</v>
      </c>
      <c r="M30" s="739">
        <v>6.4310738102669633</v>
      </c>
      <c r="N30" s="739">
        <v>6.4310738102669633</v>
      </c>
      <c r="O30" s="739">
        <v>6.4310738102669633</v>
      </c>
      <c r="P30" s="739">
        <v>6.0483262908920059</v>
      </c>
      <c r="Q30" s="739">
        <v>5.6301907484282427</v>
      </c>
      <c r="R30" s="739">
        <v>4.757597350032075</v>
      </c>
      <c r="S30" s="739">
        <v>4.7085559003107864</v>
      </c>
      <c r="T30" s="739">
        <v>5.5094389621495079</v>
      </c>
      <c r="U30" s="739">
        <v>3.1056637437279355</v>
      </c>
      <c r="V30" s="739">
        <v>0.38346014121241384</v>
      </c>
      <c r="W30" s="739">
        <v>0.38323003877096151</v>
      </c>
      <c r="X30" s="739">
        <v>0.38323003877096151</v>
      </c>
      <c r="Y30" s="739">
        <v>0.37581991431039191</v>
      </c>
      <c r="Z30" s="739">
        <v>0.37581991431039191</v>
      </c>
      <c r="AA30" s="739">
        <v>0.3574312605254728</v>
      </c>
      <c r="AB30" s="739">
        <v>0</v>
      </c>
      <c r="AC30" s="739">
        <v>0</v>
      </c>
      <c r="AD30" s="739">
        <v>0</v>
      </c>
      <c r="AE30" s="739">
        <v>0</v>
      </c>
      <c r="AF30" s="739">
        <v>0</v>
      </c>
      <c r="AG30" s="739">
        <v>0</v>
      </c>
      <c r="AH30" s="739">
        <v>0</v>
      </c>
      <c r="AI30" s="739">
        <v>0</v>
      </c>
      <c r="AJ30" s="739">
        <v>0</v>
      </c>
      <c r="AK30" s="739">
        <v>0</v>
      </c>
      <c r="AL30" s="739">
        <v>0</v>
      </c>
      <c r="AM30" s="739">
        <v>0</v>
      </c>
      <c r="AN30" s="739">
        <v>0</v>
      </c>
      <c r="AO30" s="740">
        <v>0</v>
      </c>
      <c r="AP30" s="50"/>
      <c r="AQ30" s="738">
        <v>104255.86043777934</v>
      </c>
      <c r="AR30" s="739">
        <v>104255.86043777934</v>
      </c>
      <c r="AS30" s="739">
        <v>104255.86043777934</v>
      </c>
      <c r="AT30" s="739">
        <v>104255.86043777934</v>
      </c>
      <c r="AU30" s="739">
        <v>95989.702049951535</v>
      </c>
      <c r="AV30" s="739">
        <v>86959.272206199326</v>
      </c>
      <c r="AW30" s="739">
        <v>68113.963290560292</v>
      </c>
      <c r="AX30" s="739">
        <v>67684.360191001804</v>
      </c>
      <c r="AY30" s="739">
        <v>84980.948422581787</v>
      </c>
      <c r="AZ30" s="739">
        <v>33066.864912239223</v>
      </c>
      <c r="BA30" s="739">
        <v>10512.032198298664</v>
      </c>
      <c r="BB30" s="739">
        <v>8615.724851766945</v>
      </c>
      <c r="BC30" s="739">
        <v>8615.724851766945</v>
      </c>
      <c r="BD30" s="739">
        <v>7935.5864032055579</v>
      </c>
      <c r="BE30" s="739">
        <v>7935.5864032055579</v>
      </c>
      <c r="BF30" s="739">
        <v>7719.4057771803336</v>
      </c>
      <c r="BG30" s="739">
        <v>0</v>
      </c>
      <c r="BH30" s="739">
        <v>0</v>
      </c>
      <c r="BI30" s="739">
        <v>0</v>
      </c>
      <c r="BJ30" s="739">
        <v>0</v>
      </c>
      <c r="BK30" s="739">
        <v>0</v>
      </c>
      <c r="BL30" s="739">
        <v>0</v>
      </c>
      <c r="BM30" s="739">
        <v>0</v>
      </c>
      <c r="BN30" s="739">
        <v>0</v>
      </c>
      <c r="BO30" s="739">
        <v>0</v>
      </c>
      <c r="BP30" s="739">
        <v>0</v>
      </c>
      <c r="BQ30" s="739">
        <v>0</v>
      </c>
      <c r="BR30" s="739">
        <v>0</v>
      </c>
      <c r="BS30" s="739">
        <v>0</v>
      </c>
      <c r="BT30" s="740">
        <v>0</v>
      </c>
      <c r="BU30" s="16"/>
    </row>
    <row r="31" spans="2:73" s="17" customFormat="1" ht="15.5">
      <c r="B31" s="737" t="s">
        <v>743</v>
      </c>
      <c r="C31" s="737" t="s">
        <v>744</v>
      </c>
      <c r="D31" s="737" t="s">
        <v>3</v>
      </c>
      <c r="E31" s="737" t="s">
        <v>745</v>
      </c>
      <c r="F31" s="737" t="s">
        <v>29</v>
      </c>
      <c r="G31" s="737" t="s">
        <v>746</v>
      </c>
      <c r="H31" s="737">
        <v>2011</v>
      </c>
      <c r="I31" s="636" t="s">
        <v>571</v>
      </c>
      <c r="J31" s="636" t="s">
        <v>589</v>
      </c>
      <c r="K31" s="50"/>
      <c r="L31" s="738">
        <v>173.52042719512525</v>
      </c>
      <c r="M31" s="739">
        <v>173.52042719512525</v>
      </c>
      <c r="N31" s="739">
        <v>173.52042719512525</v>
      </c>
      <c r="O31" s="739">
        <v>173.52042719512525</v>
      </c>
      <c r="P31" s="739">
        <v>173.52042719512525</v>
      </c>
      <c r="Q31" s="739">
        <v>173.52042719512525</v>
      </c>
      <c r="R31" s="739">
        <v>173.52042719512525</v>
      </c>
      <c r="S31" s="739">
        <v>173.52042719512525</v>
      </c>
      <c r="T31" s="739">
        <v>173.52042719512525</v>
      </c>
      <c r="U31" s="739">
        <v>173.52042719512525</v>
      </c>
      <c r="V31" s="739">
        <v>173.52042719512525</v>
      </c>
      <c r="W31" s="739">
        <v>173.52042719512525</v>
      </c>
      <c r="X31" s="739">
        <v>173.52042719512525</v>
      </c>
      <c r="Y31" s="739">
        <v>173.52042719512525</v>
      </c>
      <c r="Z31" s="739">
        <v>173.52042719512525</v>
      </c>
      <c r="AA31" s="739">
        <v>173.52042719512525</v>
      </c>
      <c r="AB31" s="739">
        <v>173.52042719512525</v>
      </c>
      <c r="AC31" s="739">
        <v>173.52042719512525</v>
      </c>
      <c r="AD31" s="739">
        <v>141.28425269539125</v>
      </c>
      <c r="AE31" s="739">
        <v>0</v>
      </c>
      <c r="AF31" s="739">
        <v>0</v>
      </c>
      <c r="AG31" s="739">
        <v>0</v>
      </c>
      <c r="AH31" s="739">
        <v>0</v>
      </c>
      <c r="AI31" s="739">
        <v>0</v>
      </c>
      <c r="AJ31" s="739">
        <v>0</v>
      </c>
      <c r="AK31" s="739">
        <v>0</v>
      </c>
      <c r="AL31" s="739">
        <v>0</v>
      </c>
      <c r="AM31" s="739">
        <v>0</v>
      </c>
      <c r="AN31" s="739">
        <v>0</v>
      </c>
      <c r="AO31" s="740">
        <v>0</v>
      </c>
      <c r="AP31" s="50"/>
      <c r="AQ31" s="738">
        <v>319153.51837209356</v>
      </c>
      <c r="AR31" s="739">
        <v>319153.51837209356</v>
      </c>
      <c r="AS31" s="739">
        <v>319153.51837209356</v>
      </c>
      <c r="AT31" s="739">
        <v>319153.51837209356</v>
      </c>
      <c r="AU31" s="739">
        <v>319153.51837209356</v>
      </c>
      <c r="AV31" s="739">
        <v>319153.51837209356</v>
      </c>
      <c r="AW31" s="739">
        <v>319153.51837209356</v>
      </c>
      <c r="AX31" s="739">
        <v>319153.51837209356</v>
      </c>
      <c r="AY31" s="739">
        <v>319153.51837209356</v>
      </c>
      <c r="AZ31" s="739">
        <v>319153.51837209356</v>
      </c>
      <c r="BA31" s="739">
        <v>319153.51837209356</v>
      </c>
      <c r="BB31" s="739">
        <v>319153.51837209356</v>
      </c>
      <c r="BC31" s="739">
        <v>319153.51837209356</v>
      </c>
      <c r="BD31" s="739">
        <v>319153.51837209356</v>
      </c>
      <c r="BE31" s="739">
        <v>319153.51837209356</v>
      </c>
      <c r="BF31" s="739">
        <v>319153.51837209356</v>
      </c>
      <c r="BG31" s="739">
        <v>319153.51837209356</v>
      </c>
      <c r="BH31" s="739">
        <v>319153.51837209356</v>
      </c>
      <c r="BI31" s="739">
        <v>290322.29393284232</v>
      </c>
      <c r="BJ31" s="739">
        <v>0</v>
      </c>
      <c r="BK31" s="739">
        <v>0</v>
      </c>
      <c r="BL31" s="739">
        <v>0</v>
      </c>
      <c r="BM31" s="739">
        <v>0</v>
      </c>
      <c r="BN31" s="739">
        <v>0</v>
      </c>
      <c r="BO31" s="739">
        <v>0</v>
      </c>
      <c r="BP31" s="739">
        <v>0</v>
      </c>
      <c r="BQ31" s="739">
        <v>0</v>
      </c>
      <c r="BR31" s="739">
        <v>0</v>
      </c>
      <c r="BS31" s="739">
        <v>0</v>
      </c>
      <c r="BT31" s="740">
        <v>0</v>
      </c>
      <c r="BU31" s="16"/>
    </row>
    <row r="32" spans="2:73" s="17" customFormat="1" ht="15.5">
      <c r="B32" s="737" t="s">
        <v>743</v>
      </c>
      <c r="C32" s="737" t="s">
        <v>744</v>
      </c>
      <c r="D32" s="737" t="s">
        <v>42</v>
      </c>
      <c r="E32" s="737" t="s">
        <v>745</v>
      </c>
      <c r="F32" s="737" t="s">
        <v>29</v>
      </c>
      <c r="G32" s="737" t="s">
        <v>747</v>
      </c>
      <c r="H32" s="737">
        <v>2011</v>
      </c>
      <c r="I32" s="636" t="s">
        <v>571</v>
      </c>
      <c r="J32" s="636" t="s">
        <v>589</v>
      </c>
      <c r="K32" s="50"/>
      <c r="L32" s="738">
        <v>99.719999999999999</v>
      </c>
      <c r="M32" s="739">
        <v>0</v>
      </c>
      <c r="N32" s="739">
        <v>0</v>
      </c>
      <c r="O32" s="739">
        <v>0</v>
      </c>
      <c r="P32" s="739">
        <v>0</v>
      </c>
      <c r="Q32" s="739">
        <v>0</v>
      </c>
      <c r="R32" s="739">
        <v>0</v>
      </c>
      <c r="S32" s="739">
        <v>0</v>
      </c>
      <c r="T32" s="739">
        <v>0</v>
      </c>
      <c r="U32" s="739">
        <v>0</v>
      </c>
      <c r="V32" s="739">
        <v>0</v>
      </c>
      <c r="W32" s="739">
        <v>0</v>
      </c>
      <c r="X32" s="739">
        <v>0</v>
      </c>
      <c r="Y32" s="739">
        <v>0</v>
      </c>
      <c r="Z32" s="739">
        <v>0</v>
      </c>
      <c r="AA32" s="739">
        <v>0</v>
      </c>
      <c r="AB32" s="739">
        <v>0</v>
      </c>
      <c r="AC32" s="739">
        <v>0</v>
      </c>
      <c r="AD32" s="739">
        <v>0</v>
      </c>
      <c r="AE32" s="739">
        <v>0</v>
      </c>
      <c r="AF32" s="739">
        <v>0</v>
      </c>
      <c r="AG32" s="739">
        <v>0</v>
      </c>
      <c r="AH32" s="739">
        <v>0</v>
      </c>
      <c r="AI32" s="739">
        <v>0</v>
      </c>
      <c r="AJ32" s="739">
        <v>0</v>
      </c>
      <c r="AK32" s="739">
        <v>0</v>
      </c>
      <c r="AL32" s="739">
        <v>0</v>
      </c>
      <c r="AM32" s="739">
        <v>0</v>
      </c>
      <c r="AN32" s="739">
        <v>0</v>
      </c>
      <c r="AO32" s="740">
        <v>0</v>
      </c>
      <c r="AP32" s="50"/>
      <c r="AQ32" s="738">
        <v>256.64999999999998</v>
      </c>
      <c r="AR32" s="739">
        <v>0</v>
      </c>
      <c r="AS32" s="739">
        <v>0</v>
      </c>
      <c r="AT32" s="739">
        <v>0</v>
      </c>
      <c r="AU32" s="739">
        <v>0</v>
      </c>
      <c r="AV32" s="739">
        <v>0</v>
      </c>
      <c r="AW32" s="739">
        <v>0</v>
      </c>
      <c r="AX32" s="739">
        <v>0</v>
      </c>
      <c r="AY32" s="739">
        <v>0</v>
      </c>
      <c r="AZ32" s="739">
        <v>0</v>
      </c>
      <c r="BA32" s="739">
        <v>0</v>
      </c>
      <c r="BB32" s="739">
        <v>0</v>
      </c>
      <c r="BC32" s="739">
        <v>0</v>
      </c>
      <c r="BD32" s="739">
        <v>0</v>
      </c>
      <c r="BE32" s="739">
        <v>0</v>
      </c>
      <c r="BF32" s="739">
        <v>0</v>
      </c>
      <c r="BG32" s="739">
        <v>0</v>
      </c>
      <c r="BH32" s="739">
        <v>0</v>
      </c>
      <c r="BI32" s="739">
        <v>0</v>
      </c>
      <c r="BJ32" s="739">
        <v>0</v>
      </c>
      <c r="BK32" s="739">
        <v>0</v>
      </c>
      <c r="BL32" s="739">
        <v>0</v>
      </c>
      <c r="BM32" s="739">
        <v>0</v>
      </c>
      <c r="BN32" s="739">
        <v>0</v>
      </c>
      <c r="BO32" s="739">
        <v>0</v>
      </c>
      <c r="BP32" s="739">
        <v>0</v>
      </c>
      <c r="BQ32" s="739">
        <v>0</v>
      </c>
      <c r="BR32" s="739">
        <v>0</v>
      </c>
      <c r="BS32" s="739">
        <v>0</v>
      </c>
      <c r="BT32" s="740">
        <v>0</v>
      </c>
      <c r="BU32" s="16"/>
    </row>
    <row r="33" spans="2:73" s="17" customFormat="1" ht="15.5">
      <c r="B33" s="737" t="s">
        <v>743</v>
      </c>
      <c r="C33" s="737" t="s">
        <v>748</v>
      </c>
      <c r="D33" s="737" t="s">
        <v>749</v>
      </c>
      <c r="E33" s="737" t="s">
        <v>745</v>
      </c>
      <c r="F33" s="737" t="s">
        <v>750</v>
      </c>
      <c r="G33" s="737" t="s">
        <v>747</v>
      </c>
      <c r="H33" s="737">
        <v>2011</v>
      </c>
      <c r="I33" s="636" t="s">
        <v>571</v>
      </c>
      <c r="J33" s="636" t="s">
        <v>589</v>
      </c>
      <c r="K33" s="50"/>
      <c r="L33" s="738">
        <v>78.122399999999999</v>
      </c>
      <c r="M33" s="739">
        <v>0</v>
      </c>
      <c r="N33" s="739">
        <v>0</v>
      </c>
      <c r="O33" s="739">
        <v>0</v>
      </c>
      <c r="P33" s="739">
        <v>0</v>
      </c>
      <c r="Q33" s="739">
        <v>0</v>
      </c>
      <c r="R33" s="739">
        <v>0</v>
      </c>
      <c r="S33" s="739">
        <v>0</v>
      </c>
      <c r="T33" s="739">
        <v>0</v>
      </c>
      <c r="U33" s="739">
        <v>0</v>
      </c>
      <c r="V33" s="739">
        <v>0</v>
      </c>
      <c r="W33" s="739">
        <v>0</v>
      </c>
      <c r="X33" s="739">
        <v>0</v>
      </c>
      <c r="Y33" s="739">
        <v>0</v>
      </c>
      <c r="Z33" s="739">
        <v>0</v>
      </c>
      <c r="AA33" s="739">
        <v>0</v>
      </c>
      <c r="AB33" s="739">
        <v>0</v>
      </c>
      <c r="AC33" s="739">
        <v>0</v>
      </c>
      <c r="AD33" s="739">
        <v>0</v>
      </c>
      <c r="AE33" s="739">
        <v>0</v>
      </c>
      <c r="AF33" s="739">
        <v>0</v>
      </c>
      <c r="AG33" s="739">
        <v>0</v>
      </c>
      <c r="AH33" s="739">
        <v>0</v>
      </c>
      <c r="AI33" s="739">
        <v>0</v>
      </c>
      <c r="AJ33" s="739">
        <v>0</v>
      </c>
      <c r="AK33" s="739">
        <v>0</v>
      </c>
      <c r="AL33" s="739">
        <v>0</v>
      </c>
      <c r="AM33" s="739">
        <v>0</v>
      </c>
      <c r="AN33" s="739">
        <v>0</v>
      </c>
      <c r="AO33" s="740">
        <v>0</v>
      </c>
      <c r="AP33" s="50"/>
      <c r="AQ33" s="738">
        <v>3050.1320000000001</v>
      </c>
      <c r="AR33" s="739">
        <v>0</v>
      </c>
      <c r="AS33" s="739">
        <v>0</v>
      </c>
      <c r="AT33" s="739">
        <v>0</v>
      </c>
      <c r="AU33" s="739">
        <v>0</v>
      </c>
      <c r="AV33" s="739">
        <v>0</v>
      </c>
      <c r="AW33" s="739">
        <v>0</v>
      </c>
      <c r="AX33" s="739">
        <v>0</v>
      </c>
      <c r="AY33" s="739">
        <v>0</v>
      </c>
      <c r="AZ33" s="739">
        <v>0</v>
      </c>
      <c r="BA33" s="739">
        <v>0</v>
      </c>
      <c r="BB33" s="739">
        <v>0</v>
      </c>
      <c r="BC33" s="739">
        <v>0</v>
      </c>
      <c r="BD33" s="739">
        <v>0</v>
      </c>
      <c r="BE33" s="739">
        <v>0</v>
      </c>
      <c r="BF33" s="739">
        <v>0</v>
      </c>
      <c r="BG33" s="739">
        <v>0</v>
      </c>
      <c r="BH33" s="739">
        <v>0</v>
      </c>
      <c r="BI33" s="739">
        <v>0</v>
      </c>
      <c r="BJ33" s="739">
        <v>0</v>
      </c>
      <c r="BK33" s="739">
        <v>0</v>
      </c>
      <c r="BL33" s="739">
        <v>0</v>
      </c>
      <c r="BM33" s="739">
        <v>0</v>
      </c>
      <c r="BN33" s="739">
        <v>0</v>
      </c>
      <c r="BO33" s="739">
        <v>0</v>
      </c>
      <c r="BP33" s="739">
        <v>0</v>
      </c>
      <c r="BQ33" s="739">
        <v>0</v>
      </c>
      <c r="BR33" s="739">
        <v>0</v>
      </c>
      <c r="BS33" s="739">
        <v>0</v>
      </c>
      <c r="BT33" s="740">
        <v>0</v>
      </c>
      <c r="BU33" s="16"/>
    </row>
    <row r="34" spans="2:73" s="17" customFormat="1" ht="15.5">
      <c r="B34" s="737" t="s">
        <v>743</v>
      </c>
      <c r="C34" s="737" t="s">
        <v>748</v>
      </c>
      <c r="D34" s="737" t="s">
        <v>21</v>
      </c>
      <c r="E34" s="737" t="s">
        <v>745</v>
      </c>
      <c r="F34" s="737" t="s">
        <v>750</v>
      </c>
      <c r="G34" s="737" t="s">
        <v>746</v>
      </c>
      <c r="H34" s="737">
        <v>2011</v>
      </c>
      <c r="I34" s="636" t="s">
        <v>571</v>
      </c>
      <c r="J34" s="636" t="s">
        <v>589</v>
      </c>
      <c r="K34" s="50"/>
      <c r="L34" s="738">
        <v>41.718418107982878</v>
      </c>
      <c r="M34" s="739">
        <v>41.718418107982878</v>
      </c>
      <c r="N34" s="739">
        <v>41.17460045637781</v>
      </c>
      <c r="O34" s="739">
        <v>30.545960973206714</v>
      </c>
      <c r="P34" s="739">
        <v>30.545960973206714</v>
      </c>
      <c r="Q34" s="739">
        <v>29.951117870652752</v>
      </c>
      <c r="R34" s="739">
        <v>4.5529900910296064</v>
      </c>
      <c r="S34" s="739">
        <v>4.5529900910296064</v>
      </c>
      <c r="T34" s="739">
        <v>4.5529900910296064</v>
      </c>
      <c r="U34" s="739">
        <v>4.5529900910296064</v>
      </c>
      <c r="V34" s="739">
        <v>3.9619340417215545</v>
      </c>
      <c r="W34" s="739">
        <v>3.9619340417215545</v>
      </c>
      <c r="X34" s="739">
        <v>0</v>
      </c>
      <c r="Y34" s="739">
        <v>0</v>
      </c>
      <c r="Z34" s="739">
        <v>0</v>
      </c>
      <c r="AA34" s="739">
        <v>0</v>
      </c>
      <c r="AB34" s="739">
        <v>0</v>
      </c>
      <c r="AC34" s="739">
        <v>0</v>
      </c>
      <c r="AD34" s="739">
        <v>0</v>
      </c>
      <c r="AE34" s="739">
        <v>0</v>
      </c>
      <c r="AF34" s="739">
        <v>0</v>
      </c>
      <c r="AG34" s="739">
        <v>0</v>
      </c>
      <c r="AH34" s="739">
        <v>0</v>
      </c>
      <c r="AI34" s="739">
        <v>0</v>
      </c>
      <c r="AJ34" s="739">
        <v>0</v>
      </c>
      <c r="AK34" s="739">
        <v>0</v>
      </c>
      <c r="AL34" s="739">
        <v>0</v>
      </c>
      <c r="AM34" s="739">
        <v>0</v>
      </c>
      <c r="AN34" s="739">
        <v>0</v>
      </c>
      <c r="AO34" s="740">
        <v>0</v>
      </c>
      <c r="AP34" s="50"/>
      <c r="AQ34" s="738">
        <v>97297.891214360396</v>
      </c>
      <c r="AR34" s="739">
        <v>97297.891214360396</v>
      </c>
      <c r="AS34" s="739">
        <v>96039.790500717529</v>
      </c>
      <c r="AT34" s="739">
        <v>67751.485414538824</v>
      </c>
      <c r="AU34" s="739">
        <v>67751.485414538824</v>
      </c>
      <c r="AV34" s="739">
        <v>66505.762165415246</v>
      </c>
      <c r="AW34" s="739">
        <v>12058.24484318421</v>
      </c>
      <c r="AX34" s="739">
        <v>12058.24484318421</v>
      </c>
      <c r="AY34" s="739">
        <v>12058.24484318421</v>
      </c>
      <c r="AZ34" s="739">
        <v>12058.24484318421</v>
      </c>
      <c r="BA34" s="739">
        <v>8171.7128510913835</v>
      </c>
      <c r="BB34" s="739">
        <v>8171.7128510913835</v>
      </c>
      <c r="BC34" s="739">
        <v>0</v>
      </c>
      <c r="BD34" s="739">
        <v>0</v>
      </c>
      <c r="BE34" s="739">
        <v>0</v>
      </c>
      <c r="BF34" s="739">
        <v>0</v>
      </c>
      <c r="BG34" s="739">
        <v>0</v>
      </c>
      <c r="BH34" s="739">
        <v>0</v>
      </c>
      <c r="BI34" s="739">
        <v>0</v>
      </c>
      <c r="BJ34" s="739">
        <v>0</v>
      </c>
      <c r="BK34" s="739">
        <v>0</v>
      </c>
      <c r="BL34" s="739">
        <v>0</v>
      </c>
      <c r="BM34" s="739">
        <v>0</v>
      </c>
      <c r="BN34" s="739">
        <v>0</v>
      </c>
      <c r="BO34" s="739">
        <v>0</v>
      </c>
      <c r="BP34" s="739">
        <v>0</v>
      </c>
      <c r="BQ34" s="739">
        <v>0</v>
      </c>
      <c r="BR34" s="739">
        <v>0</v>
      </c>
      <c r="BS34" s="739">
        <v>0</v>
      </c>
      <c r="BT34" s="740">
        <v>0</v>
      </c>
      <c r="BU34" s="16"/>
    </row>
    <row r="35" spans="2:73" s="17" customFormat="1" ht="15.5">
      <c r="B35" s="737" t="s">
        <v>743</v>
      </c>
      <c r="C35" s="737" t="s">
        <v>748</v>
      </c>
      <c r="D35" s="737" t="s">
        <v>22</v>
      </c>
      <c r="E35" s="737" t="s">
        <v>745</v>
      </c>
      <c r="F35" s="737" t="s">
        <v>750</v>
      </c>
      <c r="G35" s="737" t="s">
        <v>746</v>
      </c>
      <c r="H35" s="737">
        <v>2011</v>
      </c>
      <c r="I35" s="636" t="s">
        <v>571</v>
      </c>
      <c r="J35" s="636" t="s">
        <v>589</v>
      </c>
      <c r="K35" s="50"/>
      <c r="L35" s="738">
        <v>47.742720619843666</v>
      </c>
      <c r="M35" s="739">
        <v>47.742720619843666</v>
      </c>
      <c r="N35" s="739">
        <v>47.742720619843666</v>
      </c>
      <c r="O35" s="739">
        <v>47.742720619843666</v>
      </c>
      <c r="P35" s="739">
        <v>47.742720619843666</v>
      </c>
      <c r="Q35" s="739">
        <v>47.742720619843666</v>
      </c>
      <c r="R35" s="739">
        <v>47.742720619843666</v>
      </c>
      <c r="S35" s="739">
        <v>47.742720619843666</v>
      </c>
      <c r="T35" s="739">
        <v>47.00462354914044</v>
      </c>
      <c r="U35" s="739">
        <v>47.00462354914044</v>
      </c>
      <c r="V35" s="739">
        <v>47.00462354914044</v>
      </c>
      <c r="W35" s="739">
        <v>44.968065813301905</v>
      </c>
      <c r="X35" s="739">
        <v>0</v>
      </c>
      <c r="Y35" s="739">
        <v>0</v>
      </c>
      <c r="Z35" s="739">
        <v>0</v>
      </c>
      <c r="AA35" s="739">
        <v>0</v>
      </c>
      <c r="AB35" s="739">
        <v>0</v>
      </c>
      <c r="AC35" s="739">
        <v>0</v>
      </c>
      <c r="AD35" s="739">
        <v>0</v>
      </c>
      <c r="AE35" s="739">
        <v>0</v>
      </c>
      <c r="AF35" s="739">
        <v>0</v>
      </c>
      <c r="AG35" s="739">
        <v>0</v>
      </c>
      <c r="AH35" s="739">
        <v>0</v>
      </c>
      <c r="AI35" s="739">
        <v>0</v>
      </c>
      <c r="AJ35" s="739">
        <v>0</v>
      </c>
      <c r="AK35" s="739">
        <v>0</v>
      </c>
      <c r="AL35" s="739">
        <v>0</v>
      </c>
      <c r="AM35" s="739">
        <v>0</v>
      </c>
      <c r="AN35" s="739">
        <v>0</v>
      </c>
      <c r="AO35" s="740">
        <v>0</v>
      </c>
      <c r="AP35" s="50"/>
      <c r="AQ35" s="738">
        <v>377207.78609305224</v>
      </c>
      <c r="AR35" s="739">
        <v>377207.78609305224</v>
      </c>
      <c r="AS35" s="739">
        <v>377207.78609305224</v>
      </c>
      <c r="AT35" s="739">
        <v>377207.78609305224</v>
      </c>
      <c r="AU35" s="739">
        <v>377207.78609305224</v>
      </c>
      <c r="AV35" s="739">
        <v>377207.78609305224</v>
      </c>
      <c r="AW35" s="739">
        <v>377207.78609305224</v>
      </c>
      <c r="AX35" s="739">
        <v>377207.78609305224</v>
      </c>
      <c r="AY35" s="739">
        <v>370852.56928109692</v>
      </c>
      <c r="AZ35" s="739">
        <v>370852.56928109692</v>
      </c>
      <c r="BA35" s="739">
        <v>370852.56928109692</v>
      </c>
      <c r="BB35" s="739">
        <v>284317.67316674499</v>
      </c>
      <c r="BC35" s="739">
        <v>0</v>
      </c>
      <c r="BD35" s="739">
        <v>0</v>
      </c>
      <c r="BE35" s="739">
        <v>0</v>
      </c>
      <c r="BF35" s="739">
        <v>0</v>
      </c>
      <c r="BG35" s="739">
        <v>0</v>
      </c>
      <c r="BH35" s="739">
        <v>0</v>
      </c>
      <c r="BI35" s="739">
        <v>0</v>
      </c>
      <c r="BJ35" s="739">
        <v>0</v>
      </c>
      <c r="BK35" s="739">
        <v>0</v>
      </c>
      <c r="BL35" s="739">
        <v>0</v>
      </c>
      <c r="BM35" s="739">
        <v>0</v>
      </c>
      <c r="BN35" s="739">
        <v>0</v>
      </c>
      <c r="BO35" s="739">
        <v>0</v>
      </c>
      <c r="BP35" s="739">
        <v>0</v>
      </c>
      <c r="BQ35" s="739">
        <v>0</v>
      </c>
      <c r="BR35" s="739">
        <v>0</v>
      </c>
      <c r="BS35" s="739">
        <v>0</v>
      </c>
      <c r="BT35" s="740">
        <v>0</v>
      </c>
      <c r="BU35" s="16"/>
    </row>
    <row r="36" spans="2:73" s="17" customFormat="1" ht="15.5">
      <c r="B36" s="737" t="s">
        <v>743</v>
      </c>
      <c r="C36" s="737" t="s">
        <v>751</v>
      </c>
      <c r="D36" s="737" t="s">
        <v>9</v>
      </c>
      <c r="E36" s="737" t="s">
        <v>745</v>
      </c>
      <c r="F36" s="737" t="s">
        <v>751</v>
      </c>
      <c r="G36" s="737" t="s">
        <v>747</v>
      </c>
      <c r="H36" s="737">
        <v>2011</v>
      </c>
      <c r="I36" s="636" t="s">
        <v>571</v>
      </c>
      <c r="J36" s="636" t="s">
        <v>589</v>
      </c>
      <c r="K36" s="50"/>
      <c r="L36" s="738">
        <v>421.38</v>
      </c>
      <c r="M36" s="739">
        <v>0</v>
      </c>
      <c r="N36" s="739">
        <v>0</v>
      </c>
      <c r="O36" s="739">
        <v>0</v>
      </c>
      <c r="P36" s="739">
        <v>0</v>
      </c>
      <c r="Q36" s="739">
        <v>0</v>
      </c>
      <c r="R36" s="739">
        <v>0</v>
      </c>
      <c r="S36" s="739">
        <v>0</v>
      </c>
      <c r="T36" s="739">
        <v>0</v>
      </c>
      <c r="U36" s="739">
        <v>0</v>
      </c>
      <c r="V36" s="739">
        <v>0</v>
      </c>
      <c r="W36" s="739">
        <v>0</v>
      </c>
      <c r="X36" s="739">
        <v>0</v>
      </c>
      <c r="Y36" s="739">
        <v>0</v>
      </c>
      <c r="Z36" s="739">
        <v>0</v>
      </c>
      <c r="AA36" s="739">
        <v>0</v>
      </c>
      <c r="AB36" s="739">
        <v>0</v>
      </c>
      <c r="AC36" s="739">
        <v>0</v>
      </c>
      <c r="AD36" s="739">
        <v>0</v>
      </c>
      <c r="AE36" s="739">
        <v>0</v>
      </c>
      <c r="AF36" s="739">
        <v>0</v>
      </c>
      <c r="AG36" s="739">
        <v>0</v>
      </c>
      <c r="AH36" s="739">
        <v>0</v>
      </c>
      <c r="AI36" s="739">
        <v>0</v>
      </c>
      <c r="AJ36" s="739">
        <v>0</v>
      </c>
      <c r="AK36" s="739">
        <v>0</v>
      </c>
      <c r="AL36" s="739">
        <v>0</v>
      </c>
      <c r="AM36" s="739">
        <v>0</v>
      </c>
      <c r="AN36" s="739">
        <v>0</v>
      </c>
      <c r="AO36" s="740">
        <v>0</v>
      </c>
      <c r="AP36" s="50"/>
      <c r="AQ36" s="738">
        <v>24734.549999999999</v>
      </c>
      <c r="AR36" s="739">
        <v>0</v>
      </c>
      <c r="AS36" s="739">
        <v>0</v>
      </c>
      <c r="AT36" s="739">
        <v>0</v>
      </c>
      <c r="AU36" s="739">
        <v>0</v>
      </c>
      <c r="AV36" s="739">
        <v>0</v>
      </c>
      <c r="AW36" s="739">
        <v>0</v>
      </c>
      <c r="AX36" s="739">
        <v>0</v>
      </c>
      <c r="AY36" s="739">
        <v>0</v>
      </c>
      <c r="AZ36" s="739">
        <v>0</v>
      </c>
      <c r="BA36" s="739">
        <v>0</v>
      </c>
      <c r="BB36" s="739">
        <v>0</v>
      </c>
      <c r="BC36" s="739">
        <v>0</v>
      </c>
      <c r="BD36" s="739">
        <v>0</v>
      </c>
      <c r="BE36" s="739">
        <v>0</v>
      </c>
      <c r="BF36" s="739">
        <v>0</v>
      </c>
      <c r="BG36" s="739">
        <v>0</v>
      </c>
      <c r="BH36" s="739">
        <v>0</v>
      </c>
      <c r="BI36" s="739">
        <v>0</v>
      </c>
      <c r="BJ36" s="739">
        <v>0</v>
      </c>
      <c r="BK36" s="739">
        <v>0</v>
      </c>
      <c r="BL36" s="739">
        <v>0</v>
      </c>
      <c r="BM36" s="739">
        <v>0</v>
      </c>
      <c r="BN36" s="739">
        <v>0</v>
      </c>
      <c r="BO36" s="739">
        <v>0</v>
      </c>
      <c r="BP36" s="739">
        <v>0</v>
      </c>
      <c r="BQ36" s="739">
        <v>0</v>
      </c>
      <c r="BR36" s="739">
        <v>0</v>
      </c>
      <c r="BS36" s="739">
        <v>0</v>
      </c>
      <c r="BT36" s="740">
        <v>0</v>
      </c>
      <c r="BU36" s="16"/>
    </row>
    <row r="37" spans="2:73" s="17" customFormat="1" ht="15.5">
      <c r="B37" s="737" t="s">
        <v>743</v>
      </c>
      <c r="C37" s="737" t="s">
        <v>751</v>
      </c>
      <c r="D37" s="737" t="s">
        <v>22</v>
      </c>
      <c r="E37" s="737" t="s">
        <v>745</v>
      </c>
      <c r="F37" s="737" t="s">
        <v>751</v>
      </c>
      <c r="G37" s="737" t="s">
        <v>746</v>
      </c>
      <c r="H37" s="737">
        <v>2011</v>
      </c>
      <c r="I37" s="636" t="s">
        <v>571</v>
      </c>
      <c r="J37" s="636" t="s">
        <v>589</v>
      </c>
      <c r="K37" s="50"/>
      <c r="L37" s="738">
        <v>16.17593293773842</v>
      </c>
      <c r="M37" s="739">
        <v>16.17593293773842</v>
      </c>
      <c r="N37" s="739">
        <v>16.17593293773842</v>
      </c>
      <c r="O37" s="739">
        <v>16.17593293773842</v>
      </c>
      <c r="P37" s="739">
        <v>16.17593293773842</v>
      </c>
      <c r="Q37" s="739">
        <v>16.17593293773842</v>
      </c>
      <c r="R37" s="739">
        <v>16.17593293773842</v>
      </c>
      <c r="S37" s="739">
        <v>16.17593293773842</v>
      </c>
      <c r="T37" s="739">
        <v>16.17593293773842</v>
      </c>
      <c r="U37" s="739">
        <v>16.17593293773842</v>
      </c>
      <c r="V37" s="739">
        <v>16.17593293773842</v>
      </c>
      <c r="W37" s="739">
        <v>16.17593293773842</v>
      </c>
      <c r="X37" s="739">
        <v>0</v>
      </c>
      <c r="Y37" s="739">
        <v>0</v>
      </c>
      <c r="Z37" s="739">
        <v>0</v>
      </c>
      <c r="AA37" s="739">
        <v>0</v>
      </c>
      <c r="AB37" s="739">
        <v>0</v>
      </c>
      <c r="AC37" s="739">
        <v>0</v>
      </c>
      <c r="AD37" s="739">
        <v>0</v>
      </c>
      <c r="AE37" s="739">
        <v>0</v>
      </c>
      <c r="AF37" s="739">
        <v>0</v>
      </c>
      <c r="AG37" s="739">
        <v>0</v>
      </c>
      <c r="AH37" s="739">
        <v>0</v>
      </c>
      <c r="AI37" s="739">
        <v>0</v>
      </c>
      <c r="AJ37" s="739">
        <v>0</v>
      </c>
      <c r="AK37" s="739">
        <v>0</v>
      </c>
      <c r="AL37" s="739">
        <v>0</v>
      </c>
      <c r="AM37" s="739">
        <v>0</v>
      </c>
      <c r="AN37" s="739">
        <v>0</v>
      </c>
      <c r="AO37" s="740">
        <v>0</v>
      </c>
      <c r="AP37" s="50"/>
      <c r="AQ37" s="738">
        <v>103574.18618663134</v>
      </c>
      <c r="AR37" s="739">
        <v>103574.18618663134</v>
      </c>
      <c r="AS37" s="739">
        <v>103574.18618663134</v>
      </c>
      <c r="AT37" s="739">
        <v>103574.18618663134</v>
      </c>
      <c r="AU37" s="739">
        <v>103574.18618663134</v>
      </c>
      <c r="AV37" s="739">
        <v>103574.18618663134</v>
      </c>
      <c r="AW37" s="739">
        <v>103574.18618663134</v>
      </c>
      <c r="AX37" s="739">
        <v>103574.18618663134</v>
      </c>
      <c r="AY37" s="739">
        <v>103574.18618663134</v>
      </c>
      <c r="AZ37" s="739">
        <v>103574.18618663134</v>
      </c>
      <c r="BA37" s="739">
        <v>103574.18618663134</v>
      </c>
      <c r="BB37" s="739">
        <v>103574.18618663134</v>
      </c>
      <c r="BC37" s="739">
        <v>0</v>
      </c>
      <c r="BD37" s="739">
        <v>0</v>
      </c>
      <c r="BE37" s="739">
        <v>0</v>
      </c>
      <c r="BF37" s="739">
        <v>0</v>
      </c>
      <c r="BG37" s="739">
        <v>0</v>
      </c>
      <c r="BH37" s="739">
        <v>0</v>
      </c>
      <c r="BI37" s="739">
        <v>0</v>
      </c>
      <c r="BJ37" s="739">
        <v>0</v>
      </c>
      <c r="BK37" s="739">
        <v>0</v>
      </c>
      <c r="BL37" s="739">
        <v>0</v>
      </c>
      <c r="BM37" s="739">
        <v>0</v>
      </c>
      <c r="BN37" s="739">
        <v>0</v>
      </c>
      <c r="BO37" s="739">
        <v>0</v>
      </c>
      <c r="BP37" s="739">
        <v>0</v>
      </c>
      <c r="BQ37" s="739">
        <v>0</v>
      </c>
      <c r="BR37" s="739">
        <v>0</v>
      </c>
      <c r="BS37" s="739">
        <v>0</v>
      </c>
      <c r="BT37" s="740">
        <v>0</v>
      </c>
      <c r="BU37" s="16"/>
    </row>
    <row r="38" spans="2:73" s="17" customFormat="1" ht="15.5">
      <c r="B38" s="737" t="s">
        <v>743</v>
      </c>
      <c r="C38" s="737" t="s">
        <v>752</v>
      </c>
      <c r="D38" s="737" t="s">
        <v>16</v>
      </c>
      <c r="E38" s="737" t="s">
        <v>745</v>
      </c>
      <c r="F38" s="737" t="s">
        <v>750</v>
      </c>
      <c r="G38" s="737" t="s">
        <v>746</v>
      </c>
      <c r="H38" s="737">
        <v>2011</v>
      </c>
      <c r="I38" s="636" t="s">
        <v>571</v>
      </c>
      <c r="J38" s="636" t="s">
        <v>589</v>
      </c>
      <c r="K38" s="50"/>
      <c r="L38" s="738">
        <v>112.89486208000002</v>
      </c>
      <c r="M38" s="739">
        <v>112.89486208000002</v>
      </c>
      <c r="N38" s="739">
        <v>112.89486208000002</v>
      </c>
      <c r="O38" s="739">
        <v>112.89486208000002</v>
      </c>
      <c r="P38" s="739">
        <v>112.89486208000002</v>
      </c>
      <c r="Q38" s="739">
        <v>112.89486208000002</v>
      </c>
      <c r="R38" s="739">
        <v>112.89486208000002</v>
      </c>
      <c r="S38" s="739">
        <v>112.89486208000002</v>
      </c>
      <c r="T38" s="739">
        <v>112.89486208000002</v>
      </c>
      <c r="U38" s="739">
        <v>112.89486208000002</v>
      </c>
      <c r="V38" s="739">
        <v>112.89486208000002</v>
      </c>
      <c r="W38" s="739">
        <v>112.89486208000002</v>
      </c>
      <c r="X38" s="739">
        <v>112.89486208000002</v>
      </c>
      <c r="Y38" s="739">
        <v>0</v>
      </c>
      <c r="Z38" s="739">
        <v>0</v>
      </c>
      <c r="AA38" s="739">
        <v>0</v>
      </c>
      <c r="AB38" s="739">
        <v>0</v>
      </c>
      <c r="AC38" s="739">
        <v>0</v>
      </c>
      <c r="AD38" s="739">
        <v>0</v>
      </c>
      <c r="AE38" s="739">
        <v>0</v>
      </c>
      <c r="AF38" s="739">
        <v>0</v>
      </c>
      <c r="AG38" s="739">
        <v>0</v>
      </c>
      <c r="AH38" s="739">
        <v>0</v>
      </c>
      <c r="AI38" s="739">
        <v>0</v>
      </c>
      <c r="AJ38" s="739">
        <v>0</v>
      </c>
      <c r="AK38" s="739">
        <v>0</v>
      </c>
      <c r="AL38" s="739">
        <v>0</v>
      </c>
      <c r="AM38" s="739">
        <v>0</v>
      </c>
      <c r="AN38" s="739">
        <v>0</v>
      </c>
      <c r="AO38" s="740">
        <v>0</v>
      </c>
      <c r="AP38" s="50"/>
      <c r="AQ38" s="738">
        <v>606286.25819361606</v>
      </c>
      <c r="AR38" s="739">
        <v>606286.25819361606</v>
      </c>
      <c r="AS38" s="739">
        <v>606286.25819361606</v>
      </c>
      <c r="AT38" s="739">
        <v>606286.25819361606</v>
      </c>
      <c r="AU38" s="739">
        <v>606286.25819361606</v>
      </c>
      <c r="AV38" s="739">
        <v>606286.25819361606</v>
      </c>
      <c r="AW38" s="739">
        <v>606286.25819361606</v>
      </c>
      <c r="AX38" s="739">
        <v>606286.25819361606</v>
      </c>
      <c r="AY38" s="739">
        <v>606286.25819361606</v>
      </c>
      <c r="AZ38" s="739">
        <v>606286.25819361606</v>
      </c>
      <c r="BA38" s="739">
        <v>606286.25819361606</v>
      </c>
      <c r="BB38" s="739">
        <v>606286.25819361606</v>
      </c>
      <c r="BC38" s="739">
        <v>606286.25819361606</v>
      </c>
      <c r="BD38" s="739">
        <v>0</v>
      </c>
      <c r="BE38" s="739">
        <v>0</v>
      </c>
      <c r="BF38" s="739">
        <v>0</v>
      </c>
      <c r="BG38" s="739">
        <v>0</v>
      </c>
      <c r="BH38" s="739">
        <v>0</v>
      </c>
      <c r="BI38" s="739">
        <v>0</v>
      </c>
      <c r="BJ38" s="739">
        <v>0</v>
      </c>
      <c r="BK38" s="739">
        <v>0</v>
      </c>
      <c r="BL38" s="739">
        <v>0</v>
      </c>
      <c r="BM38" s="739">
        <v>0</v>
      </c>
      <c r="BN38" s="739">
        <v>0</v>
      </c>
      <c r="BO38" s="739">
        <v>0</v>
      </c>
      <c r="BP38" s="739">
        <v>0</v>
      </c>
      <c r="BQ38" s="739">
        <v>0</v>
      </c>
      <c r="BR38" s="739">
        <v>0</v>
      </c>
      <c r="BS38" s="739">
        <v>0</v>
      </c>
      <c r="BT38" s="740">
        <v>0</v>
      </c>
      <c r="BU38" s="16"/>
    </row>
    <row r="39" spans="2:73" s="17" customFormat="1" ht="15.5">
      <c r="B39" s="737" t="s">
        <v>743</v>
      </c>
      <c r="C39" s="737" t="s">
        <v>752</v>
      </c>
      <c r="D39" s="737" t="s">
        <v>17</v>
      </c>
      <c r="E39" s="737" t="s">
        <v>745</v>
      </c>
      <c r="F39" s="737" t="s">
        <v>750</v>
      </c>
      <c r="G39" s="737" t="s">
        <v>746</v>
      </c>
      <c r="H39" s="737">
        <v>2011</v>
      </c>
      <c r="I39" s="636" t="s">
        <v>571</v>
      </c>
      <c r="J39" s="636" t="s">
        <v>589</v>
      </c>
      <c r="K39" s="50"/>
      <c r="L39" s="738">
        <v>0.23017700771563779</v>
      </c>
      <c r="M39" s="739">
        <v>0.23017700771563779</v>
      </c>
      <c r="N39" s="739">
        <v>0.23017700771563779</v>
      </c>
      <c r="O39" s="739">
        <v>0.23017700771563779</v>
      </c>
      <c r="P39" s="739">
        <v>0.23017700771563779</v>
      </c>
      <c r="Q39" s="739">
        <v>0.23017700771563779</v>
      </c>
      <c r="R39" s="739">
        <v>0.23017700771563779</v>
      </c>
      <c r="S39" s="739">
        <v>0.23017700771563779</v>
      </c>
      <c r="T39" s="739">
        <v>0.23017700771563779</v>
      </c>
      <c r="U39" s="739">
        <v>0.23017700771563779</v>
      </c>
      <c r="V39" s="739">
        <v>0.23017700771563779</v>
      </c>
      <c r="W39" s="739">
        <v>0.23017700771563779</v>
      </c>
      <c r="X39" s="739">
        <v>0.23017700771563779</v>
      </c>
      <c r="Y39" s="739">
        <v>0.23017700771563779</v>
      </c>
      <c r="Z39" s="739">
        <v>0.23017700771563779</v>
      </c>
      <c r="AA39" s="739">
        <v>0.23017700771563779</v>
      </c>
      <c r="AB39" s="739">
        <v>0.23017700771563779</v>
      </c>
      <c r="AC39" s="739">
        <v>0.23017700771563779</v>
      </c>
      <c r="AD39" s="739">
        <v>0.23017700771563779</v>
      </c>
      <c r="AE39" s="739">
        <v>0.23017700771563779</v>
      </c>
      <c r="AF39" s="739">
        <v>0.23017700771563779</v>
      </c>
      <c r="AG39" s="739">
        <v>0.23017700771563779</v>
      </c>
      <c r="AH39" s="739">
        <v>0.23017700771563779</v>
      </c>
      <c r="AI39" s="739">
        <v>0.23017700771563779</v>
      </c>
      <c r="AJ39" s="739">
        <v>0.23017700771563779</v>
      </c>
      <c r="AK39" s="739">
        <v>0.23017700771563779</v>
      </c>
      <c r="AL39" s="739">
        <v>0</v>
      </c>
      <c r="AM39" s="739">
        <v>0</v>
      </c>
      <c r="AN39" s="739">
        <v>0</v>
      </c>
      <c r="AO39" s="740">
        <v>0</v>
      </c>
      <c r="AP39" s="50"/>
      <c r="AQ39" s="738">
        <v>1182.1891116275158</v>
      </c>
      <c r="AR39" s="739">
        <v>1182.1891116275158</v>
      </c>
      <c r="AS39" s="739">
        <v>1182.1891116275158</v>
      </c>
      <c r="AT39" s="739">
        <v>1182.1891116275158</v>
      </c>
      <c r="AU39" s="739">
        <v>1182.1891116275158</v>
      </c>
      <c r="AV39" s="739">
        <v>1182.1891116275158</v>
      </c>
      <c r="AW39" s="739">
        <v>1182.1891116275158</v>
      </c>
      <c r="AX39" s="739">
        <v>1182.1891116275158</v>
      </c>
      <c r="AY39" s="739">
        <v>1182.1891116275158</v>
      </c>
      <c r="AZ39" s="739">
        <v>1182.1891116275158</v>
      </c>
      <c r="BA39" s="739">
        <v>1182.1891116275158</v>
      </c>
      <c r="BB39" s="739">
        <v>1182.1891116275158</v>
      </c>
      <c r="BC39" s="739">
        <v>1182.1891116275158</v>
      </c>
      <c r="BD39" s="739">
        <v>1182.1891116275158</v>
      </c>
      <c r="BE39" s="739">
        <v>1182.1891116275158</v>
      </c>
      <c r="BF39" s="739">
        <v>1182.1891116275158</v>
      </c>
      <c r="BG39" s="739">
        <v>1182.1891116275158</v>
      </c>
      <c r="BH39" s="739">
        <v>1182.1891116275158</v>
      </c>
      <c r="BI39" s="739">
        <v>1182.1891116275158</v>
      </c>
      <c r="BJ39" s="739">
        <v>1182.1891116275158</v>
      </c>
      <c r="BK39" s="739">
        <v>1182.1891116275158</v>
      </c>
      <c r="BL39" s="739">
        <v>1182.1891116275158</v>
      </c>
      <c r="BM39" s="739">
        <v>1182.1891116275158</v>
      </c>
      <c r="BN39" s="739">
        <v>1182.1891116275158</v>
      </c>
      <c r="BO39" s="739">
        <v>1182.1891116275158</v>
      </c>
      <c r="BP39" s="739">
        <v>1182.1891116275158</v>
      </c>
      <c r="BQ39" s="739">
        <v>0</v>
      </c>
      <c r="BR39" s="739">
        <v>0</v>
      </c>
      <c r="BS39" s="739">
        <v>0</v>
      </c>
      <c r="BT39" s="740">
        <v>0</v>
      </c>
      <c r="BU39" s="16"/>
    </row>
    <row r="40" spans="2:73" s="17" customFormat="1" ht="15.5">
      <c r="B40" s="737" t="s">
        <v>753</v>
      </c>
      <c r="C40" s="737" t="s">
        <v>752</v>
      </c>
      <c r="D40" s="737" t="s">
        <v>17</v>
      </c>
      <c r="E40" s="737" t="s">
        <v>745</v>
      </c>
      <c r="F40" s="737" t="s">
        <v>754</v>
      </c>
      <c r="G40" s="737" t="s">
        <v>746</v>
      </c>
      <c r="H40" s="737">
        <v>2011</v>
      </c>
      <c r="I40" s="636" t="s">
        <v>572</v>
      </c>
      <c r="J40" s="636" t="s">
        <v>582</v>
      </c>
      <c r="K40" s="50"/>
      <c r="L40" s="738">
        <v>0</v>
      </c>
      <c r="M40" s="739">
        <v>0</v>
      </c>
      <c r="N40" s="739">
        <v>0</v>
      </c>
      <c r="O40" s="739">
        <v>0</v>
      </c>
      <c r="P40" s="739">
        <v>0</v>
      </c>
      <c r="Q40" s="739">
        <v>0</v>
      </c>
      <c r="R40" s="739">
        <v>0</v>
      </c>
      <c r="S40" s="739">
        <v>0</v>
      </c>
      <c r="T40" s="739">
        <v>0</v>
      </c>
      <c r="U40" s="739">
        <v>0</v>
      </c>
      <c r="V40" s="739">
        <v>0</v>
      </c>
      <c r="W40" s="739">
        <v>0</v>
      </c>
      <c r="X40" s="739">
        <v>0</v>
      </c>
      <c r="Y40" s="739">
        <v>0</v>
      </c>
      <c r="Z40" s="739">
        <v>0</v>
      </c>
      <c r="AA40" s="739">
        <v>0</v>
      </c>
      <c r="AB40" s="739">
        <v>0</v>
      </c>
      <c r="AC40" s="739">
        <v>0</v>
      </c>
      <c r="AD40" s="739">
        <v>0</v>
      </c>
      <c r="AE40" s="739">
        <v>0</v>
      </c>
      <c r="AF40" s="739">
        <v>0</v>
      </c>
      <c r="AG40" s="739">
        <v>0</v>
      </c>
      <c r="AH40" s="739">
        <v>0</v>
      </c>
      <c r="AI40" s="739">
        <v>0</v>
      </c>
      <c r="AJ40" s="739">
        <v>0</v>
      </c>
      <c r="AK40" s="739">
        <v>0</v>
      </c>
      <c r="AL40" s="739">
        <v>0</v>
      </c>
      <c r="AM40" s="739">
        <v>0</v>
      </c>
      <c r="AN40" s="739">
        <v>0</v>
      </c>
      <c r="AO40" s="740">
        <v>0</v>
      </c>
      <c r="AP40" s="50"/>
      <c r="AQ40" s="738">
        <v>0</v>
      </c>
      <c r="AR40" s="739">
        <v>0</v>
      </c>
      <c r="AS40" s="739">
        <v>0</v>
      </c>
      <c r="AT40" s="739">
        <v>0</v>
      </c>
      <c r="AU40" s="739">
        <v>0</v>
      </c>
      <c r="AV40" s="739">
        <v>0</v>
      </c>
      <c r="AW40" s="739">
        <v>0</v>
      </c>
      <c r="AX40" s="739">
        <v>0</v>
      </c>
      <c r="AY40" s="739">
        <v>0</v>
      </c>
      <c r="AZ40" s="739">
        <v>0</v>
      </c>
      <c r="BA40" s="739">
        <v>0</v>
      </c>
      <c r="BB40" s="739">
        <v>0</v>
      </c>
      <c r="BC40" s="739">
        <v>0</v>
      </c>
      <c r="BD40" s="739">
        <v>0</v>
      </c>
      <c r="BE40" s="739">
        <v>0</v>
      </c>
      <c r="BF40" s="739">
        <v>0</v>
      </c>
      <c r="BG40" s="739">
        <v>0</v>
      </c>
      <c r="BH40" s="739">
        <v>0</v>
      </c>
      <c r="BI40" s="739">
        <v>0</v>
      </c>
      <c r="BJ40" s="739">
        <v>0</v>
      </c>
      <c r="BK40" s="739">
        <v>0</v>
      </c>
      <c r="BL40" s="739">
        <v>0</v>
      </c>
      <c r="BM40" s="739">
        <v>0</v>
      </c>
      <c r="BN40" s="739">
        <v>0</v>
      </c>
      <c r="BO40" s="739">
        <v>0</v>
      </c>
      <c r="BP40" s="739">
        <v>0</v>
      </c>
      <c r="BQ40" s="739">
        <v>0</v>
      </c>
      <c r="BR40" s="739">
        <v>0</v>
      </c>
      <c r="BS40" s="739">
        <v>0</v>
      </c>
      <c r="BT40" s="740">
        <v>0</v>
      </c>
      <c r="BU40" s="16"/>
    </row>
    <row r="41" spans="2:73" s="17" customFormat="1" ht="15.5">
      <c r="B41" s="737" t="s">
        <v>753</v>
      </c>
      <c r="C41" s="737" t="s">
        <v>744</v>
      </c>
      <c r="D41" s="737" t="s">
        <v>3</v>
      </c>
      <c r="E41" s="737" t="s">
        <v>745</v>
      </c>
      <c r="F41" s="737" t="s">
        <v>29</v>
      </c>
      <c r="G41" s="737" t="s">
        <v>746</v>
      </c>
      <c r="H41" s="737">
        <v>2011</v>
      </c>
      <c r="I41" s="636" t="s">
        <v>572</v>
      </c>
      <c r="J41" s="636" t="s">
        <v>582</v>
      </c>
      <c r="K41" s="50"/>
      <c r="L41" s="738">
        <v>-38.319810017765967</v>
      </c>
      <c r="M41" s="739">
        <v>-38.319810017765967</v>
      </c>
      <c r="N41" s="739">
        <v>-38.319810017765967</v>
      </c>
      <c r="O41" s="739">
        <v>-38.319810017765967</v>
      </c>
      <c r="P41" s="739">
        <v>-38.319810017765967</v>
      </c>
      <c r="Q41" s="739">
        <v>-38.319810017765967</v>
      </c>
      <c r="R41" s="739">
        <v>-38.319810017765967</v>
      </c>
      <c r="S41" s="739">
        <v>-38.319810017765967</v>
      </c>
      <c r="T41" s="739">
        <v>-38.319810017765967</v>
      </c>
      <c r="U41" s="739">
        <v>-38.319810017765967</v>
      </c>
      <c r="V41" s="739">
        <v>-38.319810017765967</v>
      </c>
      <c r="W41" s="739">
        <v>-38.319810017765967</v>
      </c>
      <c r="X41" s="739">
        <v>-38.319810017765967</v>
      </c>
      <c r="Y41" s="739">
        <v>-38.319810017765967</v>
      </c>
      <c r="Z41" s="739">
        <v>-38.319810017765967</v>
      </c>
      <c r="AA41" s="739">
        <v>-38.319810017765967</v>
      </c>
      <c r="AB41" s="739">
        <v>-38.319810017765967</v>
      </c>
      <c r="AC41" s="739">
        <v>-38.319810017765967</v>
      </c>
      <c r="AD41" s="739">
        <v>-31.458065682269478</v>
      </c>
      <c r="AE41" s="739">
        <v>0</v>
      </c>
      <c r="AF41" s="739">
        <v>0</v>
      </c>
      <c r="AG41" s="739">
        <v>0</v>
      </c>
      <c r="AH41" s="739">
        <v>0</v>
      </c>
      <c r="AI41" s="739">
        <v>0</v>
      </c>
      <c r="AJ41" s="739">
        <v>0</v>
      </c>
      <c r="AK41" s="739">
        <v>0</v>
      </c>
      <c r="AL41" s="739">
        <v>0</v>
      </c>
      <c r="AM41" s="739">
        <v>0</v>
      </c>
      <c r="AN41" s="739">
        <v>0</v>
      </c>
      <c r="AO41" s="740">
        <v>0</v>
      </c>
      <c r="AP41" s="50"/>
      <c r="AQ41" s="738">
        <v>-70811.915790608255</v>
      </c>
      <c r="AR41" s="739">
        <v>-70811.915790608255</v>
      </c>
      <c r="AS41" s="739">
        <v>-70811.915790608255</v>
      </c>
      <c r="AT41" s="739">
        <v>-70811.915790608255</v>
      </c>
      <c r="AU41" s="739">
        <v>-70811.915790608255</v>
      </c>
      <c r="AV41" s="739">
        <v>-70811.915790608255</v>
      </c>
      <c r="AW41" s="739">
        <v>-70811.915790608255</v>
      </c>
      <c r="AX41" s="739">
        <v>-70811.915790608255</v>
      </c>
      <c r="AY41" s="739">
        <v>-70811.915790608255</v>
      </c>
      <c r="AZ41" s="739">
        <v>-70811.915790608255</v>
      </c>
      <c r="BA41" s="739">
        <v>-70811.915790608255</v>
      </c>
      <c r="BB41" s="739">
        <v>-70811.915790608255</v>
      </c>
      <c r="BC41" s="739">
        <v>-70811.915790608255</v>
      </c>
      <c r="BD41" s="739">
        <v>-70811.915790608255</v>
      </c>
      <c r="BE41" s="739">
        <v>-70811.915790608255</v>
      </c>
      <c r="BF41" s="739">
        <v>-70811.915790608255</v>
      </c>
      <c r="BG41" s="739">
        <v>-70811.915790608255</v>
      </c>
      <c r="BH41" s="739">
        <v>-70811.915790608255</v>
      </c>
      <c r="BI41" s="739">
        <v>-64686.279755020325</v>
      </c>
      <c r="BJ41" s="739">
        <v>0</v>
      </c>
      <c r="BK41" s="739">
        <v>0</v>
      </c>
      <c r="BL41" s="739">
        <v>0</v>
      </c>
      <c r="BM41" s="739">
        <v>0</v>
      </c>
      <c r="BN41" s="739">
        <v>0</v>
      </c>
      <c r="BO41" s="739">
        <v>0</v>
      </c>
      <c r="BP41" s="739">
        <v>0</v>
      </c>
      <c r="BQ41" s="739">
        <v>0</v>
      </c>
      <c r="BR41" s="739">
        <v>0</v>
      </c>
      <c r="BS41" s="739">
        <v>0</v>
      </c>
      <c r="BT41" s="740">
        <v>0</v>
      </c>
      <c r="BU41" s="16"/>
    </row>
    <row r="42" spans="2:73" s="17" customFormat="1" ht="15.5">
      <c r="B42" s="737" t="s">
        <v>753</v>
      </c>
      <c r="C42" s="737" t="s">
        <v>744</v>
      </c>
      <c r="D42" s="737" t="s">
        <v>5</v>
      </c>
      <c r="E42" s="737" t="s">
        <v>745</v>
      </c>
      <c r="F42" s="737" t="s">
        <v>29</v>
      </c>
      <c r="G42" s="737" t="s">
        <v>746</v>
      </c>
      <c r="H42" s="737">
        <v>2011</v>
      </c>
      <c r="I42" s="636" t="s">
        <v>572</v>
      </c>
      <c r="J42" s="636" t="s">
        <v>582</v>
      </c>
      <c r="K42" s="50"/>
      <c r="L42" s="738">
        <v>0.59052881251308564</v>
      </c>
      <c r="M42" s="739">
        <v>0.59052881251308564</v>
      </c>
      <c r="N42" s="739">
        <v>0.59052881251308564</v>
      </c>
      <c r="O42" s="739">
        <v>0.59052881251308564</v>
      </c>
      <c r="P42" s="739">
        <v>0.59052881251308564</v>
      </c>
      <c r="Q42" s="739">
        <v>0.54000319622357373</v>
      </c>
      <c r="R42" s="739">
        <v>0.30858697333836826</v>
      </c>
      <c r="S42" s="739">
        <v>0.30845058824446292</v>
      </c>
      <c r="T42" s="739">
        <v>0.30845058824446292</v>
      </c>
      <c r="U42" s="739">
        <v>0.096856495644650292</v>
      </c>
      <c r="V42" s="739">
        <v>0.040242673442199749</v>
      </c>
      <c r="W42" s="739">
        <v>0.040231900837042485</v>
      </c>
      <c r="X42" s="739">
        <v>0.040231900837042485</v>
      </c>
      <c r="Y42" s="739">
        <v>0.038382050151399651</v>
      </c>
      <c r="Z42" s="739">
        <v>0.038382050151399651</v>
      </c>
      <c r="AA42" s="739">
        <v>0.038297347888454569</v>
      </c>
      <c r="AB42" s="739">
        <v>0</v>
      </c>
      <c r="AC42" s="739">
        <v>0</v>
      </c>
      <c r="AD42" s="739">
        <v>0</v>
      </c>
      <c r="AE42" s="739">
        <v>0</v>
      </c>
      <c r="AF42" s="739">
        <v>0</v>
      </c>
      <c r="AG42" s="739">
        <v>0</v>
      </c>
      <c r="AH42" s="739">
        <v>0</v>
      </c>
      <c r="AI42" s="739">
        <v>0</v>
      </c>
      <c r="AJ42" s="739">
        <v>0</v>
      </c>
      <c r="AK42" s="739">
        <v>0</v>
      </c>
      <c r="AL42" s="739">
        <v>0</v>
      </c>
      <c r="AM42" s="739">
        <v>0</v>
      </c>
      <c r="AN42" s="739">
        <v>0</v>
      </c>
      <c r="AO42" s="740">
        <v>0</v>
      </c>
      <c r="AP42" s="50"/>
      <c r="AQ42" s="738">
        <v>11953.518394510378</v>
      </c>
      <c r="AR42" s="739">
        <v>11953.518394510378</v>
      </c>
      <c r="AS42" s="739">
        <v>11953.518394510378</v>
      </c>
      <c r="AT42" s="739">
        <v>11953.518394510378</v>
      </c>
      <c r="AU42" s="739">
        <v>11953.518394510378</v>
      </c>
      <c r="AV42" s="739">
        <v>10862.321911842741</v>
      </c>
      <c r="AW42" s="739">
        <v>5864.4498028194348</v>
      </c>
      <c r="AX42" s="739">
        <v>5863.2550693968233</v>
      </c>
      <c r="AY42" s="739">
        <v>5863.2550693968233</v>
      </c>
      <c r="AZ42" s="739">
        <v>1293.4794475585634</v>
      </c>
      <c r="BA42" s="739">
        <v>1086.6667964545491</v>
      </c>
      <c r="BB42" s="739">
        <v>997.88820648360399</v>
      </c>
      <c r="BC42" s="739">
        <v>997.88820648360399</v>
      </c>
      <c r="BD42" s="739">
        <v>828.09961762815794</v>
      </c>
      <c r="BE42" s="739">
        <v>828.09961762815794</v>
      </c>
      <c r="BF42" s="739">
        <v>827.10384118669617</v>
      </c>
      <c r="BG42" s="739">
        <v>0</v>
      </c>
      <c r="BH42" s="739">
        <v>0</v>
      </c>
      <c r="BI42" s="739">
        <v>0</v>
      </c>
      <c r="BJ42" s="739">
        <v>0</v>
      </c>
      <c r="BK42" s="739">
        <v>0</v>
      </c>
      <c r="BL42" s="739">
        <v>0</v>
      </c>
      <c r="BM42" s="739">
        <v>0</v>
      </c>
      <c r="BN42" s="739">
        <v>0</v>
      </c>
      <c r="BO42" s="739">
        <v>0</v>
      </c>
      <c r="BP42" s="739">
        <v>0</v>
      </c>
      <c r="BQ42" s="739">
        <v>0</v>
      </c>
      <c r="BR42" s="739">
        <v>0</v>
      </c>
      <c r="BS42" s="739">
        <v>0</v>
      </c>
      <c r="BT42" s="740">
        <v>0</v>
      </c>
      <c r="BU42" s="16"/>
    </row>
    <row r="43" spans="2:73" s="17" customFormat="1" ht="15.5">
      <c r="B43" s="737" t="s">
        <v>753</v>
      </c>
      <c r="C43" s="737" t="s">
        <v>744</v>
      </c>
      <c r="D43" s="737" t="s">
        <v>4</v>
      </c>
      <c r="E43" s="737" t="s">
        <v>745</v>
      </c>
      <c r="F43" s="737" t="s">
        <v>29</v>
      </c>
      <c r="G43" s="737" t="s">
        <v>746</v>
      </c>
      <c r="H43" s="737">
        <v>2011</v>
      </c>
      <c r="I43" s="636" t="s">
        <v>572</v>
      </c>
      <c r="J43" s="636" t="s">
        <v>582</v>
      </c>
      <c r="K43" s="50"/>
      <c r="L43" s="738">
        <v>0.088137953166979394</v>
      </c>
      <c r="M43" s="739">
        <v>0.088137953166979394</v>
      </c>
      <c r="N43" s="739">
        <v>0.088137953166979394</v>
      </c>
      <c r="O43" s="739">
        <v>0.088137953166979394</v>
      </c>
      <c r="P43" s="739">
        <v>0.088137953166979394</v>
      </c>
      <c r="Q43" s="739">
        <v>0.082106158525754605</v>
      </c>
      <c r="R43" s="739">
        <v>0.057429137269967394</v>
      </c>
      <c r="S43" s="739">
        <v>0.05729765885248405</v>
      </c>
      <c r="T43" s="739">
        <v>0.05729765885248405</v>
      </c>
      <c r="U43" s="739">
        <v>0.032037361055318785</v>
      </c>
      <c r="V43" s="739">
        <v>0.0042349043629846383</v>
      </c>
      <c r="W43" s="739">
        <v>0.0042304373400753499</v>
      </c>
      <c r="X43" s="739">
        <v>0.0042304373400753499</v>
      </c>
      <c r="Y43" s="739">
        <v>0.0041205973734691759</v>
      </c>
      <c r="Z43" s="739">
        <v>0.0041205973734691759</v>
      </c>
      <c r="AA43" s="739">
        <v>0.0040452340382850808</v>
      </c>
      <c r="AB43" s="739">
        <v>0</v>
      </c>
      <c r="AC43" s="739">
        <v>0</v>
      </c>
      <c r="AD43" s="739">
        <v>0</v>
      </c>
      <c r="AE43" s="739">
        <v>0</v>
      </c>
      <c r="AF43" s="739">
        <v>0</v>
      </c>
      <c r="AG43" s="739">
        <v>0</v>
      </c>
      <c r="AH43" s="739">
        <v>0</v>
      </c>
      <c r="AI43" s="739">
        <v>0</v>
      </c>
      <c r="AJ43" s="739">
        <v>0</v>
      </c>
      <c r="AK43" s="739">
        <v>0</v>
      </c>
      <c r="AL43" s="739">
        <v>0</v>
      </c>
      <c r="AM43" s="739">
        <v>0</v>
      </c>
      <c r="AN43" s="739">
        <v>0</v>
      </c>
      <c r="AO43" s="740">
        <v>0</v>
      </c>
      <c r="AP43" s="50"/>
      <c r="AQ43" s="738">
        <v>1509.1429260513696</v>
      </c>
      <c r="AR43" s="739">
        <v>1509.1429260513696</v>
      </c>
      <c r="AS43" s="739">
        <v>1509.1429260513696</v>
      </c>
      <c r="AT43" s="739">
        <v>1509.1429260513696</v>
      </c>
      <c r="AU43" s="739">
        <v>1509.1429260513696</v>
      </c>
      <c r="AV43" s="739">
        <v>1378.8748842136638</v>
      </c>
      <c r="AW43" s="739">
        <v>845.9278214260479</v>
      </c>
      <c r="AX43" s="739">
        <v>844.77607048889377</v>
      </c>
      <c r="AY43" s="739">
        <v>844.77607048889377</v>
      </c>
      <c r="AZ43" s="739">
        <v>299.23204487103203</v>
      </c>
      <c r="BA43" s="739">
        <v>135.14552799425331</v>
      </c>
      <c r="BB43" s="739">
        <v>98.332149107250146</v>
      </c>
      <c r="BC43" s="739">
        <v>98.332149107250146</v>
      </c>
      <c r="BD43" s="739">
        <v>88.250485179055346</v>
      </c>
      <c r="BE43" s="739">
        <v>88.250485179055346</v>
      </c>
      <c r="BF43" s="739">
        <v>87.364499006820822</v>
      </c>
      <c r="BG43" s="739">
        <v>0</v>
      </c>
      <c r="BH43" s="739">
        <v>0</v>
      </c>
      <c r="BI43" s="739">
        <v>0</v>
      </c>
      <c r="BJ43" s="739">
        <v>0</v>
      </c>
      <c r="BK43" s="739">
        <v>0</v>
      </c>
      <c r="BL43" s="739">
        <v>0</v>
      </c>
      <c r="BM43" s="739">
        <v>0</v>
      </c>
      <c r="BN43" s="739">
        <v>0</v>
      </c>
      <c r="BO43" s="739">
        <v>0</v>
      </c>
      <c r="BP43" s="739">
        <v>0</v>
      </c>
      <c r="BQ43" s="739">
        <v>0</v>
      </c>
      <c r="BR43" s="739">
        <v>0</v>
      </c>
      <c r="BS43" s="739">
        <v>0</v>
      </c>
      <c r="BT43" s="740">
        <v>0</v>
      </c>
      <c r="BU43" s="16"/>
    </row>
    <row r="44" spans="2:73" s="17" customFormat="1" ht="15.5">
      <c r="B44" s="737" t="s">
        <v>208</v>
      </c>
      <c r="C44" s="737" t="s">
        <v>748</v>
      </c>
      <c r="D44" s="737" t="s">
        <v>20</v>
      </c>
      <c r="E44" s="737" t="s">
        <v>745</v>
      </c>
      <c r="F44" s="737" t="s">
        <v>755</v>
      </c>
      <c r="G44" s="737" t="s">
        <v>746</v>
      </c>
      <c r="H44" s="737">
        <v>2011</v>
      </c>
      <c r="I44" s="636" t="s">
        <v>574</v>
      </c>
      <c r="J44" s="636" t="s">
        <v>582</v>
      </c>
      <c r="K44" s="50"/>
      <c r="L44" s="738">
        <v>88.317436819999998</v>
      </c>
      <c r="M44" s="739">
        <v>88.317436819999998</v>
      </c>
      <c r="N44" s="739">
        <v>88.317436819999998</v>
      </c>
      <c r="O44" s="739">
        <v>88.317436819999998</v>
      </c>
      <c r="P44" s="739">
        <v>0</v>
      </c>
      <c r="Q44" s="739">
        <v>0</v>
      </c>
      <c r="R44" s="739">
        <v>0</v>
      </c>
      <c r="S44" s="739">
        <v>0</v>
      </c>
      <c r="T44" s="739">
        <v>0</v>
      </c>
      <c r="U44" s="739">
        <v>0</v>
      </c>
      <c r="V44" s="739">
        <v>0</v>
      </c>
      <c r="W44" s="739">
        <v>0</v>
      </c>
      <c r="X44" s="739">
        <v>0</v>
      </c>
      <c r="Y44" s="739">
        <v>0</v>
      </c>
      <c r="Z44" s="739">
        <v>0</v>
      </c>
      <c r="AA44" s="739"/>
      <c r="AB44" s="739"/>
      <c r="AC44" s="739"/>
      <c r="AD44" s="739"/>
      <c r="AE44" s="739"/>
      <c r="AF44" s="739"/>
      <c r="AG44" s="739"/>
      <c r="AH44" s="739"/>
      <c r="AI44" s="739"/>
      <c r="AJ44" s="739"/>
      <c r="AK44" s="739"/>
      <c r="AL44" s="739"/>
      <c r="AM44" s="739"/>
      <c r="AN44" s="739"/>
      <c r="AO44" s="740"/>
      <c r="AP44" s="50"/>
      <c r="AQ44" s="738">
        <v>437351.41950000002</v>
      </c>
      <c r="AR44" s="739">
        <v>437351.41950000002</v>
      </c>
      <c r="AS44" s="739">
        <v>437351.41950000002</v>
      </c>
      <c r="AT44" s="739">
        <v>437351.41950000002</v>
      </c>
      <c r="AU44" s="739">
        <v>0</v>
      </c>
      <c r="AV44" s="739"/>
      <c r="AW44" s="739"/>
      <c r="AX44" s="739"/>
      <c r="AY44" s="739"/>
      <c r="AZ44" s="739"/>
      <c r="BA44" s="739"/>
      <c r="BB44" s="739"/>
      <c r="BC44" s="739"/>
      <c r="BD44" s="739"/>
      <c r="BE44" s="739"/>
      <c r="BF44" s="739"/>
      <c r="BG44" s="739"/>
      <c r="BH44" s="739"/>
      <c r="BI44" s="739"/>
      <c r="BJ44" s="739"/>
      <c r="BK44" s="739"/>
      <c r="BL44" s="739"/>
      <c r="BM44" s="739"/>
      <c r="BN44" s="739"/>
      <c r="BO44" s="739"/>
      <c r="BP44" s="739"/>
      <c r="BQ44" s="739"/>
      <c r="BR44" s="739"/>
      <c r="BS44" s="739"/>
      <c r="BT44" s="740"/>
      <c r="BU44" s="16"/>
    </row>
    <row r="45" spans="2:73" s="17" customFormat="1" ht="15.5">
      <c r="B45" s="737" t="s">
        <v>743</v>
      </c>
      <c r="C45" s="737" t="s">
        <v>748</v>
      </c>
      <c r="D45" s="737" t="s">
        <v>21</v>
      </c>
      <c r="E45" s="737" t="s">
        <v>745</v>
      </c>
      <c r="F45" s="737" t="s">
        <v>754</v>
      </c>
      <c r="G45" s="737" t="s">
        <v>746</v>
      </c>
      <c r="H45" s="737">
        <v>2012</v>
      </c>
      <c r="I45" s="636" t="s">
        <v>572</v>
      </c>
      <c r="J45" s="636" t="s">
        <v>589</v>
      </c>
      <c r="K45" s="50"/>
      <c r="L45" s="738"/>
      <c r="M45" s="739">
        <v>8.8026296966164779</v>
      </c>
      <c r="N45" s="739">
        <v>8.8026296966164779</v>
      </c>
      <c r="O45" s="739">
        <v>8.4510310491760983</v>
      </c>
      <c r="P45" s="739">
        <v>5.3782674460159923</v>
      </c>
      <c r="Q45" s="739">
        <v>5.3647882563434637</v>
      </c>
      <c r="R45" s="739">
        <v>1.2651971914062754</v>
      </c>
      <c r="S45" s="739">
        <v>1.2651971914062754</v>
      </c>
      <c r="T45" s="739">
        <v>1.2651971914062754</v>
      </c>
      <c r="U45" s="739">
        <v>1.2651971914062754</v>
      </c>
      <c r="V45" s="739">
        <v>1.2651971914062754</v>
      </c>
      <c r="W45" s="739">
        <v>1.2450845569128639</v>
      </c>
      <c r="X45" s="739">
        <v>1.2450845569128639</v>
      </c>
      <c r="Y45" s="739">
        <v>0</v>
      </c>
      <c r="Z45" s="739">
        <v>0</v>
      </c>
      <c r="AA45" s="739">
        <v>0</v>
      </c>
      <c r="AB45" s="739">
        <v>0</v>
      </c>
      <c r="AC45" s="739">
        <v>0</v>
      </c>
      <c r="AD45" s="739">
        <v>0</v>
      </c>
      <c r="AE45" s="739">
        <v>0</v>
      </c>
      <c r="AF45" s="739">
        <v>0</v>
      </c>
      <c r="AG45" s="739">
        <v>0</v>
      </c>
      <c r="AH45" s="739">
        <v>0</v>
      </c>
      <c r="AI45" s="739">
        <v>0</v>
      </c>
      <c r="AJ45" s="739">
        <v>0</v>
      </c>
      <c r="AK45" s="739">
        <v>0</v>
      </c>
      <c r="AL45" s="739">
        <v>0</v>
      </c>
      <c r="AM45" s="739">
        <v>0</v>
      </c>
      <c r="AN45" s="739">
        <v>0</v>
      </c>
      <c r="AO45" s="740">
        <v>0</v>
      </c>
      <c r="AP45" s="50"/>
      <c r="AQ45" s="738"/>
      <c r="AR45" s="739">
        <v>35756.644886088456</v>
      </c>
      <c r="AS45" s="739">
        <v>35756.644886088456</v>
      </c>
      <c r="AT45" s="739">
        <v>34546.250534804873</v>
      </c>
      <c r="AU45" s="739">
        <v>20424.601744427779</v>
      </c>
      <c r="AV45" s="739">
        <v>20368.578208910258</v>
      </c>
      <c r="AW45" s="739">
        <v>4938.7299094636246</v>
      </c>
      <c r="AX45" s="739">
        <v>4938.7299094636246</v>
      </c>
      <c r="AY45" s="739">
        <v>4938.7299094636246</v>
      </c>
      <c r="AZ45" s="739">
        <v>4938.7299094636246</v>
      </c>
      <c r="BA45" s="739">
        <v>4938.7299094636246</v>
      </c>
      <c r="BB45" s="739">
        <v>4741.9321609418685</v>
      </c>
      <c r="BC45" s="739">
        <v>4741.9321609418685</v>
      </c>
      <c r="BD45" s="739">
        <v>0</v>
      </c>
      <c r="BE45" s="739">
        <v>0</v>
      </c>
      <c r="BF45" s="739">
        <v>0</v>
      </c>
      <c r="BG45" s="739">
        <v>0</v>
      </c>
      <c r="BH45" s="739">
        <v>0</v>
      </c>
      <c r="BI45" s="739">
        <v>0</v>
      </c>
      <c r="BJ45" s="739">
        <v>0</v>
      </c>
      <c r="BK45" s="739">
        <v>0</v>
      </c>
      <c r="BL45" s="739">
        <v>0</v>
      </c>
      <c r="BM45" s="739">
        <v>0</v>
      </c>
      <c r="BN45" s="739">
        <v>0</v>
      </c>
      <c r="BO45" s="739">
        <v>0</v>
      </c>
      <c r="BP45" s="739">
        <v>0</v>
      </c>
      <c r="BQ45" s="739">
        <v>0</v>
      </c>
      <c r="BR45" s="739">
        <v>0</v>
      </c>
      <c r="BS45" s="739">
        <v>0</v>
      </c>
      <c r="BT45" s="740">
        <v>0</v>
      </c>
      <c r="BU45" s="16"/>
    </row>
    <row r="46" spans="2:73" s="17" customFormat="1" ht="15.5">
      <c r="B46" s="737" t="s">
        <v>743</v>
      </c>
      <c r="C46" s="737" t="s">
        <v>748</v>
      </c>
      <c r="D46" s="737" t="s">
        <v>22</v>
      </c>
      <c r="E46" s="737" t="s">
        <v>745</v>
      </c>
      <c r="F46" s="737" t="s">
        <v>754</v>
      </c>
      <c r="G46" s="737" t="s">
        <v>746</v>
      </c>
      <c r="H46" s="737">
        <v>2012</v>
      </c>
      <c r="I46" s="636" t="s">
        <v>572</v>
      </c>
      <c r="J46" s="636" t="s">
        <v>589</v>
      </c>
      <c r="K46" s="50"/>
      <c r="L46" s="738"/>
      <c r="M46" s="739">
        <v>264.3443969891793</v>
      </c>
      <c r="N46" s="739">
        <v>264.3443969891793</v>
      </c>
      <c r="O46" s="739">
        <v>264.3443969891793</v>
      </c>
      <c r="P46" s="739">
        <v>264.3443969891793</v>
      </c>
      <c r="Q46" s="739">
        <v>264.3443969891793</v>
      </c>
      <c r="R46" s="739">
        <v>259.711711237222</v>
      </c>
      <c r="S46" s="739">
        <v>255.0544809996928</v>
      </c>
      <c r="T46" s="739">
        <v>255.0544809996928</v>
      </c>
      <c r="U46" s="739">
        <v>248.22008211607255</v>
      </c>
      <c r="V46" s="739">
        <v>185.41790174957657</v>
      </c>
      <c r="W46" s="739">
        <v>185.03631809337139</v>
      </c>
      <c r="X46" s="739">
        <v>185.03631809337139</v>
      </c>
      <c r="Y46" s="739">
        <v>1.9106154847745964</v>
      </c>
      <c r="Z46" s="739">
        <v>1.9106154847745964</v>
      </c>
      <c r="AA46" s="739">
        <v>1.9106154847745964</v>
      </c>
      <c r="AB46" s="739">
        <v>0</v>
      </c>
      <c r="AC46" s="739">
        <v>0</v>
      </c>
      <c r="AD46" s="739">
        <v>0</v>
      </c>
      <c r="AE46" s="739">
        <v>0</v>
      </c>
      <c r="AF46" s="739">
        <v>0</v>
      </c>
      <c r="AG46" s="739">
        <v>0</v>
      </c>
      <c r="AH46" s="739">
        <v>0</v>
      </c>
      <c r="AI46" s="739">
        <v>0</v>
      </c>
      <c r="AJ46" s="739">
        <v>0</v>
      </c>
      <c r="AK46" s="739">
        <v>0</v>
      </c>
      <c r="AL46" s="739">
        <v>0</v>
      </c>
      <c r="AM46" s="739">
        <v>0</v>
      </c>
      <c r="AN46" s="739">
        <v>0</v>
      </c>
      <c r="AO46" s="740">
        <v>0</v>
      </c>
      <c r="AP46" s="50"/>
      <c r="AQ46" s="738"/>
      <c r="AR46" s="739">
        <v>1766600.8902990958</v>
      </c>
      <c r="AS46" s="739">
        <v>1766600.8902990958</v>
      </c>
      <c r="AT46" s="739">
        <v>1766600.8902990958</v>
      </c>
      <c r="AU46" s="739">
        <v>1766600.8902990958</v>
      </c>
      <c r="AV46" s="739">
        <v>1766600.8902990958</v>
      </c>
      <c r="AW46" s="739">
        <v>1751500.7360676003</v>
      </c>
      <c r="AX46" s="739">
        <v>1721619.6747512654</v>
      </c>
      <c r="AY46" s="739">
        <v>1721619.6747512654</v>
      </c>
      <c r="AZ46" s="739">
        <v>1696762.0333809508</v>
      </c>
      <c r="BA46" s="739">
        <v>1293819.5747477813</v>
      </c>
      <c r="BB46" s="739">
        <v>1279143.2065769839</v>
      </c>
      <c r="BC46" s="739">
        <v>1279143.2065769839</v>
      </c>
      <c r="BD46" s="739">
        <v>180106.25322714145</v>
      </c>
      <c r="BE46" s="739">
        <v>180106.25322714145</v>
      </c>
      <c r="BF46" s="739">
        <v>180106.25322714145</v>
      </c>
      <c r="BG46" s="739">
        <v>0</v>
      </c>
      <c r="BH46" s="739">
        <v>0</v>
      </c>
      <c r="BI46" s="739">
        <v>0</v>
      </c>
      <c r="BJ46" s="739">
        <v>0</v>
      </c>
      <c r="BK46" s="739">
        <v>0</v>
      </c>
      <c r="BL46" s="739">
        <v>0</v>
      </c>
      <c r="BM46" s="739">
        <v>0</v>
      </c>
      <c r="BN46" s="739">
        <v>0</v>
      </c>
      <c r="BO46" s="739">
        <v>0</v>
      </c>
      <c r="BP46" s="739">
        <v>0</v>
      </c>
      <c r="BQ46" s="739">
        <v>0</v>
      </c>
      <c r="BR46" s="739">
        <v>0</v>
      </c>
      <c r="BS46" s="739">
        <v>0</v>
      </c>
      <c r="BT46" s="740">
        <v>0</v>
      </c>
      <c r="BU46" s="16"/>
    </row>
    <row r="47" spans="2:73" s="17" customFormat="1" ht="15.5">
      <c r="B47" s="737" t="s">
        <v>743</v>
      </c>
      <c r="C47" s="737" t="s">
        <v>744</v>
      </c>
      <c r="D47" s="737" t="s">
        <v>2</v>
      </c>
      <c r="E47" s="737" t="s">
        <v>745</v>
      </c>
      <c r="F47" s="737" t="s">
        <v>29</v>
      </c>
      <c r="G47" s="737" t="s">
        <v>746</v>
      </c>
      <c r="H47" s="737">
        <v>2012</v>
      </c>
      <c r="I47" s="636" t="s">
        <v>572</v>
      </c>
      <c r="J47" s="636" t="s">
        <v>589</v>
      </c>
      <c r="K47" s="50"/>
      <c r="L47" s="738"/>
      <c r="M47" s="739">
        <v>2.5316395988564526</v>
      </c>
      <c r="N47" s="739">
        <v>2.5316395988564526</v>
      </c>
      <c r="O47" s="739">
        <v>2.5316395988564526</v>
      </c>
      <c r="P47" s="739">
        <v>2.520000837659818</v>
      </c>
      <c r="Q47" s="739">
        <v>0</v>
      </c>
      <c r="R47" s="739">
        <v>0</v>
      </c>
      <c r="S47" s="739">
        <v>0</v>
      </c>
      <c r="T47" s="739">
        <v>0</v>
      </c>
      <c r="U47" s="739">
        <v>0</v>
      </c>
      <c r="V47" s="739">
        <v>0</v>
      </c>
      <c r="W47" s="739">
        <v>0</v>
      </c>
      <c r="X47" s="739">
        <v>0</v>
      </c>
      <c r="Y47" s="739">
        <v>0</v>
      </c>
      <c r="Z47" s="739">
        <v>0</v>
      </c>
      <c r="AA47" s="739">
        <v>0</v>
      </c>
      <c r="AB47" s="739">
        <v>0</v>
      </c>
      <c r="AC47" s="739">
        <v>0</v>
      </c>
      <c r="AD47" s="739">
        <v>0</v>
      </c>
      <c r="AE47" s="739">
        <v>0</v>
      </c>
      <c r="AF47" s="739">
        <v>0</v>
      </c>
      <c r="AG47" s="739">
        <v>0</v>
      </c>
      <c r="AH47" s="739">
        <v>0</v>
      </c>
      <c r="AI47" s="739">
        <v>0</v>
      </c>
      <c r="AJ47" s="739">
        <v>0</v>
      </c>
      <c r="AK47" s="739">
        <v>0</v>
      </c>
      <c r="AL47" s="739">
        <v>0</v>
      </c>
      <c r="AM47" s="739">
        <v>0</v>
      </c>
      <c r="AN47" s="739">
        <v>0</v>
      </c>
      <c r="AO47" s="740">
        <v>0</v>
      </c>
      <c r="AP47" s="50"/>
      <c r="AQ47" s="738"/>
      <c r="AR47" s="739">
        <v>4503.725179691296</v>
      </c>
      <c r="AS47" s="739">
        <v>4503.725179691296</v>
      </c>
      <c r="AT47" s="739">
        <v>4503.725179691296</v>
      </c>
      <c r="AU47" s="739">
        <v>4493.317166044154</v>
      </c>
      <c r="AV47" s="739">
        <v>0</v>
      </c>
      <c r="AW47" s="739">
        <v>0</v>
      </c>
      <c r="AX47" s="739">
        <v>0</v>
      </c>
      <c r="AY47" s="739">
        <v>0</v>
      </c>
      <c r="AZ47" s="739">
        <v>0</v>
      </c>
      <c r="BA47" s="739">
        <v>0</v>
      </c>
      <c r="BB47" s="739">
        <v>0</v>
      </c>
      <c r="BC47" s="739">
        <v>0</v>
      </c>
      <c r="BD47" s="739">
        <v>0</v>
      </c>
      <c r="BE47" s="739">
        <v>0</v>
      </c>
      <c r="BF47" s="739">
        <v>0</v>
      </c>
      <c r="BG47" s="739">
        <v>0</v>
      </c>
      <c r="BH47" s="739">
        <v>0</v>
      </c>
      <c r="BI47" s="739">
        <v>0</v>
      </c>
      <c r="BJ47" s="739">
        <v>0</v>
      </c>
      <c r="BK47" s="739">
        <v>0</v>
      </c>
      <c r="BL47" s="739">
        <v>0</v>
      </c>
      <c r="BM47" s="739">
        <v>0</v>
      </c>
      <c r="BN47" s="739">
        <v>0</v>
      </c>
      <c r="BO47" s="739">
        <v>0</v>
      </c>
      <c r="BP47" s="739">
        <v>0</v>
      </c>
      <c r="BQ47" s="739">
        <v>0</v>
      </c>
      <c r="BR47" s="739">
        <v>0</v>
      </c>
      <c r="BS47" s="739">
        <v>0</v>
      </c>
      <c r="BT47" s="740">
        <v>0</v>
      </c>
      <c r="BU47" s="16"/>
    </row>
    <row r="48" spans="2:73" s="17" customFormat="1" ht="15.5">
      <c r="B48" s="737" t="s">
        <v>743</v>
      </c>
      <c r="C48" s="737" t="s">
        <v>744</v>
      </c>
      <c r="D48" s="737" t="s">
        <v>1</v>
      </c>
      <c r="E48" s="737" t="s">
        <v>745</v>
      </c>
      <c r="F48" s="737" t="s">
        <v>29</v>
      </c>
      <c r="G48" s="737" t="s">
        <v>746</v>
      </c>
      <c r="H48" s="737">
        <v>2012</v>
      </c>
      <c r="I48" s="636" t="s">
        <v>572</v>
      </c>
      <c r="J48" s="636" t="s">
        <v>589</v>
      </c>
      <c r="K48" s="50"/>
      <c r="L48" s="738"/>
      <c r="M48" s="739">
        <v>5.9391255822410285</v>
      </c>
      <c r="N48" s="739">
        <v>5.9391255822410285</v>
      </c>
      <c r="O48" s="739">
        <v>5.9391255822410285</v>
      </c>
      <c r="P48" s="739">
        <v>5.9391255822410285</v>
      </c>
      <c r="Q48" s="739">
        <v>3.3702776363714868</v>
      </c>
      <c r="R48" s="739">
        <v>0</v>
      </c>
      <c r="S48" s="739">
        <v>0</v>
      </c>
      <c r="T48" s="739">
        <v>0</v>
      </c>
      <c r="U48" s="739">
        <v>0</v>
      </c>
      <c r="V48" s="739">
        <v>0</v>
      </c>
      <c r="W48" s="739">
        <v>0</v>
      </c>
      <c r="X48" s="739">
        <v>0</v>
      </c>
      <c r="Y48" s="739">
        <v>0</v>
      </c>
      <c r="Z48" s="739">
        <v>0</v>
      </c>
      <c r="AA48" s="739">
        <v>0</v>
      </c>
      <c r="AB48" s="739">
        <v>0</v>
      </c>
      <c r="AC48" s="739">
        <v>0</v>
      </c>
      <c r="AD48" s="739">
        <v>0</v>
      </c>
      <c r="AE48" s="739">
        <v>0</v>
      </c>
      <c r="AF48" s="739">
        <v>0</v>
      </c>
      <c r="AG48" s="739">
        <v>0</v>
      </c>
      <c r="AH48" s="739">
        <v>0</v>
      </c>
      <c r="AI48" s="739">
        <v>0</v>
      </c>
      <c r="AJ48" s="739">
        <v>0</v>
      </c>
      <c r="AK48" s="739">
        <v>0</v>
      </c>
      <c r="AL48" s="739">
        <v>0</v>
      </c>
      <c r="AM48" s="739">
        <v>0</v>
      </c>
      <c r="AN48" s="739">
        <v>0</v>
      </c>
      <c r="AO48" s="740">
        <v>0</v>
      </c>
      <c r="AP48" s="50"/>
      <c r="AQ48" s="738"/>
      <c r="AR48" s="739">
        <v>44552.775865090764</v>
      </c>
      <c r="AS48" s="739">
        <v>44552.775865090764</v>
      </c>
      <c r="AT48" s="739">
        <v>44552.775865090764</v>
      </c>
      <c r="AU48" s="739">
        <v>44552.775865090764</v>
      </c>
      <c r="AV48" s="739">
        <v>25633.440279257204</v>
      </c>
      <c r="AW48" s="739">
        <v>0</v>
      </c>
      <c r="AX48" s="739">
        <v>0</v>
      </c>
      <c r="AY48" s="739">
        <v>0</v>
      </c>
      <c r="AZ48" s="739">
        <v>0</v>
      </c>
      <c r="BA48" s="739">
        <v>0</v>
      </c>
      <c r="BB48" s="739">
        <v>0</v>
      </c>
      <c r="BC48" s="739">
        <v>0</v>
      </c>
      <c r="BD48" s="739">
        <v>0</v>
      </c>
      <c r="BE48" s="739">
        <v>0</v>
      </c>
      <c r="BF48" s="739">
        <v>0</v>
      </c>
      <c r="BG48" s="739">
        <v>0</v>
      </c>
      <c r="BH48" s="739">
        <v>0</v>
      </c>
      <c r="BI48" s="739">
        <v>0</v>
      </c>
      <c r="BJ48" s="739">
        <v>0</v>
      </c>
      <c r="BK48" s="739">
        <v>0</v>
      </c>
      <c r="BL48" s="739">
        <v>0</v>
      </c>
      <c r="BM48" s="739">
        <v>0</v>
      </c>
      <c r="BN48" s="739">
        <v>0</v>
      </c>
      <c r="BO48" s="739">
        <v>0</v>
      </c>
      <c r="BP48" s="739">
        <v>0</v>
      </c>
      <c r="BQ48" s="739">
        <v>0</v>
      </c>
      <c r="BR48" s="739">
        <v>0</v>
      </c>
      <c r="BS48" s="739">
        <v>0</v>
      </c>
      <c r="BT48" s="740">
        <v>0</v>
      </c>
      <c r="BU48" s="16"/>
    </row>
    <row r="49" spans="2:73" s="17" customFormat="1" ht="15.5">
      <c r="B49" s="737" t="s">
        <v>743</v>
      </c>
      <c r="C49" s="737" t="s">
        <v>744</v>
      </c>
      <c r="D49" s="737" t="s">
        <v>5</v>
      </c>
      <c r="E49" s="737" t="s">
        <v>745</v>
      </c>
      <c r="F49" s="737" t="s">
        <v>29</v>
      </c>
      <c r="G49" s="737" t="s">
        <v>746</v>
      </c>
      <c r="H49" s="737">
        <v>2012</v>
      </c>
      <c r="I49" s="636" t="s">
        <v>572</v>
      </c>
      <c r="J49" s="636" t="s">
        <v>589</v>
      </c>
      <c r="K49" s="50"/>
      <c r="L49" s="738"/>
      <c r="M49" s="739">
        <v>8.1025388189143026</v>
      </c>
      <c r="N49" s="739">
        <v>8.1025388189143026</v>
      </c>
      <c r="O49" s="739">
        <v>8.1025388189143026</v>
      </c>
      <c r="P49" s="739">
        <v>8.1025388189143026</v>
      </c>
      <c r="Q49" s="739">
        <v>7.4164102536064744</v>
      </c>
      <c r="R49" s="739">
        <v>6.276030795499481</v>
      </c>
      <c r="S49" s="739">
        <v>4.6984431620118992</v>
      </c>
      <c r="T49" s="739">
        <v>4.6810958665272269</v>
      </c>
      <c r="U49" s="739">
        <v>4.6810958665272269</v>
      </c>
      <c r="V49" s="739">
        <v>3.0188903551262105</v>
      </c>
      <c r="W49" s="739">
        <v>1.1811082718337707</v>
      </c>
      <c r="X49" s="739">
        <v>1.18100456836906</v>
      </c>
      <c r="Y49" s="739">
        <v>1.18100456836906</v>
      </c>
      <c r="Z49" s="739">
        <v>1.160737657640013</v>
      </c>
      <c r="AA49" s="739">
        <v>1.160737657640013</v>
      </c>
      <c r="AB49" s="739">
        <v>1.1318983819808297</v>
      </c>
      <c r="AC49" s="739">
        <v>0.31758885311202051</v>
      </c>
      <c r="AD49" s="739">
        <v>0.31758885311202051</v>
      </c>
      <c r="AE49" s="739">
        <v>0.31758885311202051</v>
      </c>
      <c r="AF49" s="739">
        <v>0.31758885311202051</v>
      </c>
      <c r="AG49" s="739">
        <v>0</v>
      </c>
      <c r="AH49" s="739">
        <v>0</v>
      </c>
      <c r="AI49" s="739">
        <v>0</v>
      </c>
      <c r="AJ49" s="739">
        <v>0</v>
      </c>
      <c r="AK49" s="739">
        <v>0</v>
      </c>
      <c r="AL49" s="739">
        <v>0</v>
      </c>
      <c r="AM49" s="739">
        <v>0</v>
      </c>
      <c r="AN49" s="739">
        <v>0</v>
      </c>
      <c r="AO49" s="740">
        <v>0</v>
      </c>
      <c r="AP49" s="50"/>
      <c r="AQ49" s="738"/>
      <c r="AR49" s="739">
        <v>146622.96829601386</v>
      </c>
      <c r="AS49" s="739">
        <v>146622.96829601386</v>
      </c>
      <c r="AT49" s="739">
        <v>146622.96829601386</v>
      </c>
      <c r="AU49" s="739">
        <v>146622.96829601386</v>
      </c>
      <c r="AV49" s="739">
        <v>131804.72099682936</v>
      </c>
      <c r="AW49" s="739">
        <v>107176.06438703198</v>
      </c>
      <c r="AX49" s="739">
        <v>73105.068263053094</v>
      </c>
      <c r="AY49" s="739">
        <v>72953.105954607381</v>
      </c>
      <c r="AZ49" s="739">
        <v>72953.105954607381</v>
      </c>
      <c r="BA49" s="739">
        <v>37054.626317693874</v>
      </c>
      <c r="BB49" s="739">
        <v>27499.365941988683</v>
      </c>
      <c r="BC49" s="739">
        <v>26644.730759716658</v>
      </c>
      <c r="BD49" s="739">
        <v>26644.730759716658</v>
      </c>
      <c r="BE49" s="739">
        <v>24784.53187996307</v>
      </c>
      <c r="BF49" s="739">
        <v>24784.53187996307</v>
      </c>
      <c r="BG49" s="739">
        <v>24445.49169034194</v>
      </c>
      <c r="BH49" s="739">
        <v>6858.9334460472928</v>
      </c>
      <c r="BI49" s="739">
        <v>6858.9334460472928</v>
      </c>
      <c r="BJ49" s="739">
        <v>6858.9334460472928</v>
      </c>
      <c r="BK49" s="739">
        <v>6858.9334460472928</v>
      </c>
      <c r="BL49" s="739">
        <v>0</v>
      </c>
      <c r="BM49" s="739">
        <v>0</v>
      </c>
      <c r="BN49" s="739">
        <v>0</v>
      </c>
      <c r="BO49" s="739">
        <v>0</v>
      </c>
      <c r="BP49" s="739">
        <v>0</v>
      </c>
      <c r="BQ49" s="739">
        <v>0</v>
      </c>
      <c r="BR49" s="739">
        <v>0</v>
      </c>
      <c r="BS49" s="739">
        <v>0</v>
      </c>
      <c r="BT49" s="740">
        <v>0</v>
      </c>
      <c r="BU49" s="16"/>
    </row>
    <row r="50" spans="2:73" s="17" customFormat="1" ht="15.5">
      <c r="B50" s="737" t="s">
        <v>743</v>
      </c>
      <c r="C50" s="737" t="s">
        <v>744</v>
      </c>
      <c r="D50" s="737" t="s">
        <v>4</v>
      </c>
      <c r="E50" s="737" t="s">
        <v>745</v>
      </c>
      <c r="F50" s="737" t="s">
        <v>29</v>
      </c>
      <c r="G50" s="737" t="s">
        <v>746</v>
      </c>
      <c r="H50" s="737">
        <v>2012</v>
      </c>
      <c r="I50" s="636" t="s">
        <v>572</v>
      </c>
      <c r="J50" s="636" t="s">
        <v>589</v>
      </c>
      <c r="K50" s="50"/>
      <c r="L50" s="738"/>
      <c r="M50" s="739">
        <v>1.2614675933139985</v>
      </c>
      <c r="N50" s="739">
        <v>1.2614675933139985</v>
      </c>
      <c r="O50" s="739">
        <v>1.2614675933139985</v>
      </c>
      <c r="P50" s="739">
        <v>1.2614675933139985</v>
      </c>
      <c r="Q50" s="739">
        <v>1.2561426665987912</v>
      </c>
      <c r="R50" s="739">
        <v>1.2561426665987912</v>
      </c>
      <c r="S50" s="739">
        <v>1.0714246550391899</v>
      </c>
      <c r="T50" s="739">
        <v>1.0691877669372192</v>
      </c>
      <c r="U50" s="739">
        <v>1.0691877669372192</v>
      </c>
      <c r="V50" s="739">
        <v>1.0691877669372192</v>
      </c>
      <c r="W50" s="739">
        <v>0.019667375821575298</v>
      </c>
      <c r="X50" s="739">
        <v>0.019653831188096112</v>
      </c>
      <c r="Y50" s="739">
        <v>0.019653831188096112</v>
      </c>
      <c r="Z50" s="739">
        <v>0.01894611430855702</v>
      </c>
      <c r="AA50" s="739">
        <v>0.01894611430855702</v>
      </c>
      <c r="AB50" s="739">
        <v>0.017697169299694757</v>
      </c>
      <c r="AC50" s="739">
        <v>0</v>
      </c>
      <c r="AD50" s="739">
        <v>0</v>
      </c>
      <c r="AE50" s="739">
        <v>0</v>
      </c>
      <c r="AF50" s="739">
        <v>0</v>
      </c>
      <c r="AG50" s="739">
        <v>0</v>
      </c>
      <c r="AH50" s="739">
        <v>0</v>
      </c>
      <c r="AI50" s="739">
        <v>0</v>
      </c>
      <c r="AJ50" s="739">
        <v>0</v>
      </c>
      <c r="AK50" s="739">
        <v>0</v>
      </c>
      <c r="AL50" s="739">
        <v>0</v>
      </c>
      <c r="AM50" s="739">
        <v>0</v>
      </c>
      <c r="AN50" s="739">
        <v>0</v>
      </c>
      <c r="AO50" s="740">
        <v>0</v>
      </c>
      <c r="AP50" s="50"/>
      <c r="AQ50" s="738"/>
      <c r="AR50" s="739">
        <v>7654.805446726109</v>
      </c>
      <c r="AS50" s="739">
        <v>7654.805446726109</v>
      </c>
      <c r="AT50" s="739">
        <v>7654.805446726109</v>
      </c>
      <c r="AU50" s="739">
        <v>7654.805446726109</v>
      </c>
      <c r="AV50" s="739">
        <v>7539.8035580049018</v>
      </c>
      <c r="AW50" s="739">
        <v>7539.8035580049018</v>
      </c>
      <c r="AX50" s="739">
        <v>3550.4678645175309</v>
      </c>
      <c r="AY50" s="739">
        <v>3530.8727247442662</v>
      </c>
      <c r="AZ50" s="739">
        <v>3530.8727247442662</v>
      </c>
      <c r="BA50" s="739">
        <v>3530.8727247442662</v>
      </c>
      <c r="BB50" s="739">
        <v>573.46785347469483</v>
      </c>
      <c r="BC50" s="739">
        <v>461.84457902982615</v>
      </c>
      <c r="BD50" s="739">
        <v>461.84457902982615</v>
      </c>
      <c r="BE50" s="739">
        <v>396.88676853261575</v>
      </c>
      <c r="BF50" s="739">
        <v>396.88676853261575</v>
      </c>
      <c r="BG50" s="739">
        <v>382.20392567500789</v>
      </c>
      <c r="BH50" s="739">
        <v>0</v>
      </c>
      <c r="BI50" s="739">
        <v>0</v>
      </c>
      <c r="BJ50" s="739">
        <v>0</v>
      </c>
      <c r="BK50" s="739">
        <v>0</v>
      </c>
      <c r="BL50" s="739">
        <v>0</v>
      </c>
      <c r="BM50" s="739">
        <v>0</v>
      </c>
      <c r="BN50" s="739">
        <v>0</v>
      </c>
      <c r="BO50" s="739">
        <v>0</v>
      </c>
      <c r="BP50" s="739">
        <v>0</v>
      </c>
      <c r="BQ50" s="739">
        <v>0</v>
      </c>
      <c r="BR50" s="739">
        <v>0</v>
      </c>
      <c r="BS50" s="739">
        <v>0</v>
      </c>
      <c r="BT50" s="740">
        <v>0</v>
      </c>
      <c r="BU50" s="16"/>
    </row>
    <row r="51" spans="2:73" s="17" customFormat="1" ht="15.5">
      <c r="B51" s="737" t="s">
        <v>743</v>
      </c>
      <c r="C51" s="737" t="s">
        <v>744</v>
      </c>
      <c r="D51" s="737" t="s">
        <v>3</v>
      </c>
      <c r="E51" s="737" t="s">
        <v>745</v>
      </c>
      <c r="F51" s="737" t="s">
        <v>29</v>
      </c>
      <c r="G51" s="737" t="s">
        <v>746</v>
      </c>
      <c r="H51" s="737">
        <v>2012</v>
      </c>
      <c r="I51" s="636" t="s">
        <v>572</v>
      </c>
      <c r="J51" s="636" t="s">
        <v>589</v>
      </c>
      <c r="K51" s="50"/>
      <c r="L51" s="738"/>
      <c r="M51" s="739">
        <v>90.067114387176318</v>
      </c>
      <c r="N51" s="739">
        <v>90.067114387176318</v>
      </c>
      <c r="O51" s="739">
        <v>90.067114387176318</v>
      </c>
      <c r="P51" s="739">
        <v>90.067114387176318</v>
      </c>
      <c r="Q51" s="739">
        <v>90.067114387176318</v>
      </c>
      <c r="R51" s="739">
        <v>90.067114387176318</v>
      </c>
      <c r="S51" s="739">
        <v>90.067114387176318</v>
      </c>
      <c r="T51" s="739">
        <v>90.067114387176318</v>
      </c>
      <c r="U51" s="739">
        <v>90.067114387176318</v>
      </c>
      <c r="V51" s="739">
        <v>90.067114387176318</v>
      </c>
      <c r="W51" s="739">
        <v>90.067114387176318</v>
      </c>
      <c r="X51" s="739">
        <v>90.067114387176318</v>
      </c>
      <c r="Y51" s="739">
        <v>90.067114387176318</v>
      </c>
      <c r="Z51" s="739">
        <v>90.067114387176318</v>
      </c>
      <c r="AA51" s="739">
        <v>90.067114387176318</v>
      </c>
      <c r="AB51" s="739">
        <v>90.067114387176318</v>
      </c>
      <c r="AC51" s="739">
        <v>90.067114387176318</v>
      </c>
      <c r="AD51" s="739">
        <v>90.067114387176318</v>
      </c>
      <c r="AE51" s="739">
        <v>69.144650768036215</v>
      </c>
      <c r="AF51" s="739">
        <v>0</v>
      </c>
      <c r="AG51" s="739">
        <v>0</v>
      </c>
      <c r="AH51" s="739">
        <v>0</v>
      </c>
      <c r="AI51" s="739">
        <v>0</v>
      </c>
      <c r="AJ51" s="739">
        <v>0</v>
      </c>
      <c r="AK51" s="739">
        <v>0</v>
      </c>
      <c r="AL51" s="739">
        <v>0</v>
      </c>
      <c r="AM51" s="739">
        <v>0</v>
      </c>
      <c r="AN51" s="739">
        <v>0</v>
      </c>
      <c r="AO51" s="740">
        <v>0</v>
      </c>
      <c r="AP51" s="50"/>
      <c r="AQ51" s="738"/>
      <c r="AR51" s="739">
        <v>152189.65208178159</v>
      </c>
      <c r="AS51" s="739">
        <v>152189.65208178159</v>
      </c>
      <c r="AT51" s="739">
        <v>152189.65208178159</v>
      </c>
      <c r="AU51" s="739">
        <v>152189.65208178159</v>
      </c>
      <c r="AV51" s="739">
        <v>152189.65208178159</v>
      </c>
      <c r="AW51" s="739">
        <v>152189.65208178159</v>
      </c>
      <c r="AX51" s="739">
        <v>152189.65208178159</v>
      </c>
      <c r="AY51" s="739">
        <v>152189.65208178159</v>
      </c>
      <c r="AZ51" s="739">
        <v>152189.65208178159</v>
      </c>
      <c r="BA51" s="739">
        <v>152189.65208178159</v>
      </c>
      <c r="BB51" s="739">
        <v>152189.65208178159</v>
      </c>
      <c r="BC51" s="739">
        <v>152189.65208178159</v>
      </c>
      <c r="BD51" s="739">
        <v>152189.65208178159</v>
      </c>
      <c r="BE51" s="739">
        <v>152189.65208178159</v>
      </c>
      <c r="BF51" s="739">
        <v>152189.65208178159</v>
      </c>
      <c r="BG51" s="739">
        <v>152189.65208178159</v>
      </c>
      <c r="BH51" s="739">
        <v>152189.65208178159</v>
      </c>
      <c r="BI51" s="739">
        <v>152189.65208178159</v>
      </c>
      <c r="BJ51" s="739">
        <v>133479.64650637793</v>
      </c>
      <c r="BK51" s="739">
        <v>0</v>
      </c>
      <c r="BL51" s="739">
        <v>0</v>
      </c>
      <c r="BM51" s="739">
        <v>0</v>
      </c>
      <c r="BN51" s="739">
        <v>0</v>
      </c>
      <c r="BO51" s="739">
        <v>0</v>
      </c>
      <c r="BP51" s="739">
        <v>0</v>
      </c>
      <c r="BQ51" s="739">
        <v>0</v>
      </c>
      <c r="BR51" s="739">
        <v>0</v>
      </c>
      <c r="BS51" s="739">
        <v>0</v>
      </c>
      <c r="BT51" s="740">
        <v>0</v>
      </c>
      <c r="BU51" s="16"/>
    </row>
    <row r="52" spans="2:73" s="17" customFormat="1" ht="15.5">
      <c r="B52" s="737" t="s">
        <v>743</v>
      </c>
      <c r="C52" s="737" t="s">
        <v>744</v>
      </c>
      <c r="D52" s="737" t="s">
        <v>42</v>
      </c>
      <c r="E52" s="737" t="s">
        <v>745</v>
      </c>
      <c r="F52" s="737" t="s">
        <v>29</v>
      </c>
      <c r="G52" s="737" t="s">
        <v>747</v>
      </c>
      <c r="H52" s="737">
        <v>2012</v>
      </c>
      <c r="I52" s="636" t="s">
        <v>572</v>
      </c>
      <c r="J52" s="636" t="s">
        <v>589</v>
      </c>
      <c r="K52" s="50"/>
      <c r="L52" s="738"/>
      <c r="M52" s="739">
        <v>271.7466</v>
      </c>
      <c r="N52" s="739">
        <v>0</v>
      </c>
      <c r="O52" s="739">
        <v>0</v>
      </c>
      <c r="P52" s="739">
        <v>0</v>
      </c>
      <c r="Q52" s="739">
        <v>0</v>
      </c>
      <c r="R52" s="739">
        <v>0</v>
      </c>
      <c r="S52" s="739">
        <v>0</v>
      </c>
      <c r="T52" s="739">
        <v>0</v>
      </c>
      <c r="U52" s="739">
        <v>0</v>
      </c>
      <c r="V52" s="739">
        <v>0</v>
      </c>
      <c r="W52" s="739">
        <v>0</v>
      </c>
      <c r="X52" s="739">
        <v>0</v>
      </c>
      <c r="Y52" s="739">
        <v>0</v>
      </c>
      <c r="Z52" s="739">
        <v>0</v>
      </c>
      <c r="AA52" s="739">
        <v>0</v>
      </c>
      <c r="AB52" s="739">
        <v>0</v>
      </c>
      <c r="AC52" s="739">
        <v>0</v>
      </c>
      <c r="AD52" s="739">
        <v>0</v>
      </c>
      <c r="AE52" s="739">
        <v>0</v>
      </c>
      <c r="AF52" s="739">
        <v>0</v>
      </c>
      <c r="AG52" s="739">
        <v>0</v>
      </c>
      <c r="AH52" s="739">
        <v>0</v>
      </c>
      <c r="AI52" s="739">
        <v>0</v>
      </c>
      <c r="AJ52" s="739">
        <v>0</v>
      </c>
      <c r="AK52" s="739">
        <v>0</v>
      </c>
      <c r="AL52" s="739">
        <v>0</v>
      </c>
      <c r="AM52" s="739">
        <v>0</v>
      </c>
      <c r="AN52" s="739">
        <v>0</v>
      </c>
      <c r="AO52" s="740">
        <v>0</v>
      </c>
      <c r="AP52" s="50"/>
      <c r="AQ52" s="738"/>
      <c r="AR52" s="739">
        <v>2045.7530000000004</v>
      </c>
      <c r="AS52" s="739">
        <v>0</v>
      </c>
      <c r="AT52" s="739">
        <v>0</v>
      </c>
      <c r="AU52" s="739">
        <v>0</v>
      </c>
      <c r="AV52" s="739">
        <v>0</v>
      </c>
      <c r="AW52" s="739">
        <v>0</v>
      </c>
      <c r="AX52" s="739">
        <v>0</v>
      </c>
      <c r="AY52" s="739">
        <v>0</v>
      </c>
      <c r="AZ52" s="739">
        <v>0</v>
      </c>
      <c r="BA52" s="739">
        <v>0</v>
      </c>
      <c r="BB52" s="739">
        <v>0</v>
      </c>
      <c r="BC52" s="739">
        <v>0</v>
      </c>
      <c r="BD52" s="739">
        <v>0</v>
      </c>
      <c r="BE52" s="739">
        <v>0</v>
      </c>
      <c r="BF52" s="739">
        <v>0</v>
      </c>
      <c r="BG52" s="739">
        <v>0</v>
      </c>
      <c r="BH52" s="739">
        <v>0</v>
      </c>
      <c r="BI52" s="739">
        <v>0</v>
      </c>
      <c r="BJ52" s="739">
        <v>0</v>
      </c>
      <c r="BK52" s="739">
        <v>0</v>
      </c>
      <c r="BL52" s="739">
        <v>0</v>
      </c>
      <c r="BM52" s="739">
        <v>0</v>
      </c>
      <c r="BN52" s="739">
        <v>0</v>
      </c>
      <c r="BO52" s="739">
        <v>0</v>
      </c>
      <c r="BP52" s="739">
        <v>0</v>
      </c>
      <c r="BQ52" s="739">
        <v>0</v>
      </c>
      <c r="BR52" s="739">
        <v>0</v>
      </c>
      <c r="BS52" s="739">
        <v>0</v>
      </c>
      <c r="BT52" s="740">
        <v>0</v>
      </c>
      <c r="BU52" s="16"/>
    </row>
    <row r="53" spans="2:72" ht="14.5">
      <c r="B53" s="737" t="s">
        <v>743</v>
      </c>
      <c r="C53" s="737" t="s">
        <v>751</v>
      </c>
      <c r="D53" s="737" t="s">
        <v>9</v>
      </c>
      <c r="E53" s="737" t="s">
        <v>745</v>
      </c>
      <c r="F53" s="737" t="s">
        <v>751</v>
      </c>
      <c r="G53" s="737" t="s">
        <v>747</v>
      </c>
      <c r="H53" s="737">
        <v>2012</v>
      </c>
      <c r="I53" s="636" t="s">
        <v>572</v>
      </c>
      <c r="J53" s="636" t="s">
        <v>589</v>
      </c>
      <c r="K53" s="50"/>
      <c r="L53" s="738"/>
      <c r="M53" s="739">
        <v>288.96660789999999</v>
      </c>
      <c r="N53" s="739">
        <v>0</v>
      </c>
      <c r="O53" s="739">
        <v>0</v>
      </c>
      <c r="P53" s="739">
        <v>0</v>
      </c>
      <c r="Q53" s="739">
        <v>0</v>
      </c>
      <c r="R53" s="739">
        <v>0</v>
      </c>
      <c r="S53" s="739">
        <v>0</v>
      </c>
      <c r="T53" s="739">
        <v>0</v>
      </c>
      <c r="U53" s="739">
        <v>0</v>
      </c>
      <c r="V53" s="739">
        <v>0</v>
      </c>
      <c r="W53" s="739">
        <v>0</v>
      </c>
      <c r="X53" s="739">
        <v>0</v>
      </c>
      <c r="Y53" s="739">
        <v>0</v>
      </c>
      <c r="Z53" s="739">
        <v>0</v>
      </c>
      <c r="AA53" s="739">
        <v>0</v>
      </c>
      <c r="AB53" s="739">
        <v>0</v>
      </c>
      <c r="AC53" s="739">
        <v>0</v>
      </c>
      <c r="AD53" s="739">
        <v>0</v>
      </c>
      <c r="AE53" s="739">
        <v>0</v>
      </c>
      <c r="AF53" s="739">
        <v>0</v>
      </c>
      <c r="AG53" s="739">
        <v>0</v>
      </c>
      <c r="AH53" s="739">
        <v>0</v>
      </c>
      <c r="AI53" s="739">
        <v>0</v>
      </c>
      <c r="AJ53" s="739">
        <v>0</v>
      </c>
      <c r="AK53" s="739">
        <v>0</v>
      </c>
      <c r="AL53" s="739">
        <v>0</v>
      </c>
      <c r="AM53" s="739">
        <v>0</v>
      </c>
      <c r="AN53" s="739">
        <v>0</v>
      </c>
      <c r="AO53" s="740">
        <v>0</v>
      </c>
      <c r="AP53" s="50"/>
      <c r="AQ53" s="738"/>
      <c r="AR53" s="739">
        <v>6963.9690000000001</v>
      </c>
      <c r="AS53" s="739">
        <v>0</v>
      </c>
      <c r="AT53" s="739">
        <v>0</v>
      </c>
      <c r="AU53" s="739">
        <v>0</v>
      </c>
      <c r="AV53" s="739">
        <v>0</v>
      </c>
      <c r="AW53" s="739">
        <v>0</v>
      </c>
      <c r="AX53" s="739">
        <v>0</v>
      </c>
      <c r="AY53" s="739">
        <v>0</v>
      </c>
      <c r="AZ53" s="739">
        <v>0</v>
      </c>
      <c r="BA53" s="739">
        <v>0</v>
      </c>
      <c r="BB53" s="739">
        <v>0</v>
      </c>
      <c r="BC53" s="739">
        <v>0</v>
      </c>
      <c r="BD53" s="739">
        <v>0</v>
      </c>
      <c r="BE53" s="739">
        <v>0</v>
      </c>
      <c r="BF53" s="739">
        <v>0</v>
      </c>
      <c r="BG53" s="739">
        <v>0</v>
      </c>
      <c r="BH53" s="739">
        <v>0</v>
      </c>
      <c r="BI53" s="739">
        <v>0</v>
      </c>
      <c r="BJ53" s="739">
        <v>0</v>
      </c>
      <c r="BK53" s="739">
        <v>0</v>
      </c>
      <c r="BL53" s="739">
        <v>0</v>
      </c>
      <c r="BM53" s="739">
        <v>0</v>
      </c>
      <c r="BN53" s="739">
        <v>0</v>
      </c>
      <c r="BO53" s="739">
        <v>0</v>
      </c>
      <c r="BP53" s="739">
        <v>0</v>
      </c>
      <c r="BQ53" s="739">
        <v>0</v>
      </c>
      <c r="BR53" s="739">
        <v>0</v>
      </c>
      <c r="BS53" s="739">
        <v>0</v>
      </c>
      <c r="BT53" s="740">
        <v>0</v>
      </c>
    </row>
    <row r="54" spans="2:72" ht="14.5">
      <c r="B54" s="737" t="s">
        <v>743</v>
      </c>
      <c r="C54" s="737" t="s">
        <v>752</v>
      </c>
      <c r="D54" s="737" t="s">
        <v>17</v>
      </c>
      <c r="E54" s="737" t="s">
        <v>745</v>
      </c>
      <c r="F54" s="737" t="s">
        <v>754</v>
      </c>
      <c r="G54" s="737" t="s">
        <v>746</v>
      </c>
      <c r="H54" s="737">
        <v>2012</v>
      </c>
      <c r="I54" s="636" t="s">
        <v>572</v>
      </c>
      <c r="J54" s="636" t="s">
        <v>589</v>
      </c>
      <c r="K54" s="50"/>
      <c r="L54" s="738"/>
      <c r="M54" s="739">
        <v>0.61864673722831787</v>
      </c>
      <c r="N54" s="739">
        <v>0.61864673722831787</v>
      </c>
      <c r="O54" s="739">
        <v>0.61864673722831787</v>
      </c>
      <c r="P54" s="739">
        <v>0.61864673722831787</v>
      </c>
      <c r="Q54" s="739">
        <v>0.61864673722831787</v>
      </c>
      <c r="R54" s="739">
        <v>0.61864673722831787</v>
      </c>
      <c r="S54" s="739">
        <v>0.61864673722831787</v>
      </c>
      <c r="T54" s="739">
        <v>0.61864673722831787</v>
      </c>
      <c r="U54" s="739">
        <v>0.61864673722831787</v>
      </c>
      <c r="V54" s="739">
        <v>0.61864673722831787</v>
      </c>
      <c r="W54" s="739">
        <v>0.61864673722831787</v>
      </c>
      <c r="X54" s="739">
        <v>0.61864673722831787</v>
      </c>
      <c r="Y54" s="739">
        <v>0</v>
      </c>
      <c r="Z54" s="739">
        <v>0</v>
      </c>
      <c r="AA54" s="739">
        <v>0</v>
      </c>
      <c r="AB54" s="739">
        <v>0</v>
      </c>
      <c r="AC54" s="739">
        <v>0</v>
      </c>
      <c r="AD54" s="739">
        <v>0</v>
      </c>
      <c r="AE54" s="739">
        <v>0</v>
      </c>
      <c r="AF54" s="739">
        <v>0</v>
      </c>
      <c r="AG54" s="739">
        <v>0</v>
      </c>
      <c r="AH54" s="739">
        <v>0</v>
      </c>
      <c r="AI54" s="739">
        <v>0</v>
      </c>
      <c r="AJ54" s="739">
        <v>0</v>
      </c>
      <c r="AK54" s="739">
        <v>0</v>
      </c>
      <c r="AL54" s="739">
        <v>0</v>
      </c>
      <c r="AM54" s="739">
        <v>0</v>
      </c>
      <c r="AN54" s="739">
        <v>0</v>
      </c>
      <c r="AO54" s="740">
        <v>0</v>
      </c>
      <c r="AP54" s="50"/>
      <c r="AQ54" s="738"/>
      <c r="AR54" s="739">
        <v>599.36740550133084</v>
      </c>
      <c r="AS54" s="739">
        <v>599.36740550133084</v>
      </c>
      <c r="AT54" s="739">
        <v>599.36740550133084</v>
      </c>
      <c r="AU54" s="739">
        <v>599.36740550133084</v>
      </c>
      <c r="AV54" s="739">
        <v>599.36740550133084</v>
      </c>
      <c r="AW54" s="739">
        <v>599.36740550133084</v>
      </c>
      <c r="AX54" s="739">
        <v>599.36740550133084</v>
      </c>
      <c r="AY54" s="739">
        <v>599.36740550133084</v>
      </c>
      <c r="AZ54" s="739">
        <v>599.36740550133084</v>
      </c>
      <c r="BA54" s="739">
        <v>599.36740550133084</v>
      </c>
      <c r="BB54" s="739">
        <v>599.36740550133084</v>
      </c>
      <c r="BC54" s="739">
        <v>599.36740550133084</v>
      </c>
      <c r="BD54" s="739">
        <v>0</v>
      </c>
      <c r="BE54" s="739">
        <v>0</v>
      </c>
      <c r="BF54" s="739">
        <v>0</v>
      </c>
      <c r="BG54" s="739">
        <v>0</v>
      </c>
      <c r="BH54" s="739">
        <v>0</v>
      </c>
      <c r="BI54" s="739">
        <v>0</v>
      </c>
      <c r="BJ54" s="739">
        <v>0</v>
      </c>
      <c r="BK54" s="739">
        <v>0</v>
      </c>
      <c r="BL54" s="739">
        <v>0</v>
      </c>
      <c r="BM54" s="739">
        <v>0</v>
      </c>
      <c r="BN54" s="739">
        <v>0</v>
      </c>
      <c r="BO54" s="739">
        <v>0</v>
      </c>
      <c r="BP54" s="739">
        <v>0</v>
      </c>
      <c r="BQ54" s="739">
        <v>0</v>
      </c>
      <c r="BR54" s="739">
        <v>0</v>
      </c>
      <c r="BS54" s="739">
        <v>0</v>
      </c>
      <c r="BT54" s="740">
        <v>0</v>
      </c>
    </row>
    <row r="55" spans="2:72" ht="14.5">
      <c r="B55" s="737" t="s">
        <v>743</v>
      </c>
      <c r="C55" s="737" t="s">
        <v>748</v>
      </c>
      <c r="D55" s="737" t="s">
        <v>749</v>
      </c>
      <c r="E55" s="737" t="s">
        <v>745</v>
      </c>
      <c r="F55" s="737" t="s">
        <v>754</v>
      </c>
      <c r="G55" s="737" t="s">
        <v>747</v>
      </c>
      <c r="H55" s="737">
        <v>2012</v>
      </c>
      <c r="I55" s="636" t="s">
        <v>572</v>
      </c>
      <c r="J55" s="636" t="s">
        <v>589</v>
      </c>
      <c r="K55" s="50"/>
      <c r="L55" s="738"/>
      <c r="M55" s="739">
        <v>78.352666499999998</v>
      </c>
      <c r="N55" s="739">
        <v>0</v>
      </c>
      <c r="O55" s="739">
        <v>0</v>
      </c>
      <c r="P55" s="739">
        <v>0</v>
      </c>
      <c r="Q55" s="739">
        <v>0</v>
      </c>
      <c r="R55" s="739">
        <v>0</v>
      </c>
      <c r="S55" s="739">
        <v>0</v>
      </c>
      <c r="T55" s="739">
        <v>0</v>
      </c>
      <c r="U55" s="739">
        <v>0</v>
      </c>
      <c r="V55" s="739">
        <v>0</v>
      </c>
      <c r="W55" s="739">
        <v>0</v>
      </c>
      <c r="X55" s="739">
        <v>0</v>
      </c>
      <c r="Y55" s="739">
        <v>0</v>
      </c>
      <c r="Z55" s="739">
        <v>0</v>
      </c>
      <c r="AA55" s="739">
        <v>0</v>
      </c>
      <c r="AB55" s="739">
        <v>0</v>
      </c>
      <c r="AC55" s="739">
        <v>0</v>
      </c>
      <c r="AD55" s="739">
        <v>0</v>
      </c>
      <c r="AE55" s="739">
        <v>0</v>
      </c>
      <c r="AF55" s="739">
        <v>0</v>
      </c>
      <c r="AG55" s="739">
        <v>0</v>
      </c>
      <c r="AH55" s="739">
        <v>0</v>
      </c>
      <c r="AI55" s="739">
        <v>0</v>
      </c>
      <c r="AJ55" s="739">
        <v>0</v>
      </c>
      <c r="AK55" s="739">
        <v>0</v>
      </c>
      <c r="AL55" s="739">
        <v>0</v>
      </c>
      <c r="AM55" s="739">
        <v>0</v>
      </c>
      <c r="AN55" s="739">
        <v>0</v>
      </c>
      <c r="AO55" s="740">
        <v>0</v>
      </c>
      <c r="AP55" s="50"/>
      <c r="AQ55" s="738"/>
      <c r="AR55" s="739">
        <v>1138.8810000000001</v>
      </c>
      <c r="AS55" s="739">
        <v>0</v>
      </c>
      <c r="AT55" s="739">
        <v>0</v>
      </c>
      <c r="AU55" s="739">
        <v>0</v>
      </c>
      <c r="AV55" s="739">
        <v>0</v>
      </c>
      <c r="AW55" s="739">
        <v>0</v>
      </c>
      <c r="AX55" s="739">
        <v>0</v>
      </c>
      <c r="AY55" s="739">
        <v>0</v>
      </c>
      <c r="AZ55" s="739">
        <v>0</v>
      </c>
      <c r="BA55" s="739">
        <v>0</v>
      </c>
      <c r="BB55" s="739">
        <v>0</v>
      </c>
      <c r="BC55" s="739">
        <v>0</v>
      </c>
      <c r="BD55" s="739">
        <v>0</v>
      </c>
      <c r="BE55" s="739">
        <v>0</v>
      </c>
      <c r="BF55" s="739">
        <v>0</v>
      </c>
      <c r="BG55" s="739">
        <v>0</v>
      </c>
      <c r="BH55" s="739">
        <v>0</v>
      </c>
      <c r="BI55" s="739">
        <v>0</v>
      </c>
      <c r="BJ55" s="739">
        <v>0</v>
      </c>
      <c r="BK55" s="739">
        <v>0</v>
      </c>
      <c r="BL55" s="739">
        <v>0</v>
      </c>
      <c r="BM55" s="739">
        <v>0</v>
      </c>
      <c r="BN55" s="739">
        <v>0</v>
      </c>
      <c r="BO55" s="739">
        <v>0</v>
      </c>
      <c r="BP55" s="739">
        <v>0</v>
      </c>
      <c r="BQ55" s="739">
        <v>0</v>
      </c>
      <c r="BR55" s="739">
        <v>0</v>
      </c>
      <c r="BS55" s="739">
        <v>0</v>
      </c>
      <c r="BT55" s="740">
        <v>0</v>
      </c>
    </row>
    <row r="56" spans="2:72" ht="14.5">
      <c r="B56" s="737" t="s">
        <v>756</v>
      </c>
      <c r="C56" s="737" t="s">
        <v>744</v>
      </c>
      <c r="D56" s="737" t="s">
        <v>757</v>
      </c>
      <c r="E56" s="737" t="s">
        <v>745</v>
      </c>
      <c r="F56" s="737" t="s">
        <v>29</v>
      </c>
      <c r="G56" s="737" t="s">
        <v>747</v>
      </c>
      <c r="H56" s="737">
        <v>2012</v>
      </c>
      <c r="I56" s="636" t="s">
        <v>572</v>
      </c>
      <c r="J56" s="636" t="s">
        <v>589</v>
      </c>
      <c r="K56" s="50"/>
      <c r="L56" s="738"/>
      <c r="M56" s="739">
        <v>252.77149999999998</v>
      </c>
      <c r="N56" s="739">
        <v>0</v>
      </c>
      <c r="O56" s="739">
        <v>0</v>
      </c>
      <c r="P56" s="739">
        <v>0</v>
      </c>
      <c r="Q56" s="739">
        <v>0</v>
      </c>
      <c r="R56" s="739">
        <v>0</v>
      </c>
      <c r="S56" s="739">
        <v>0</v>
      </c>
      <c r="T56" s="739">
        <v>0</v>
      </c>
      <c r="U56" s="739">
        <v>0</v>
      </c>
      <c r="V56" s="739">
        <v>0</v>
      </c>
      <c r="W56" s="739">
        <v>0</v>
      </c>
      <c r="X56" s="739">
        <v>0</v>
      </c>
      <c r="Y56" s="739">
        <v>0</v>
      </c>
      <c r="Z56" s="739">
        <v>0</v>
      </c>
      <c r="AA56" s="739">
        <v>0</v>
      </c>
      <c r="AB56" s="739">
        <v>0</v>
      </c>
      <c r="AC56" s="739">
        <v>0</v>
      </c>
      <c r="AD56" s="739">
        <v>0</v>
      </c>
      <c r="AE56" s="739">
        <v>0</v>
      </c>
      <c r="AF56" s="739">
        <v>0</v>
      </c>
      <c r="AG56" s="739">
        <v>0</v>
      </c>
      <c r="AH56" s="739">
        <v>0</v>
      </c>
      <c r="AI56" s="739">
        <v>0</v>
      </c>
      <c r="AJ56" s="739">
        <v>0</v>
      </c>
      <c r="AK56" s="739">
        <v>0</v>
      </c>
      <c r="AL56" s="739">
        <v>0</v>
      </c>
      <c r="AM56" s="739">
        <v>0</v>
      </c>
      <c r="AN56" s="739">
        <v>0</v>
      </c>
      <c r="AO56" s="740">
        <v>0</v>
      </c>
      <c r="AP56" s="50"/>
      <c r="AQ56" s="738"/>
      <c r="AR56" s="739">
        <v>1901.8420000000001</v>
      </c>
      <c r="AS56" s="739">
        <v>0</v>
      </c>
      <c r="AT56" s="739">
        <v>0</v>
      </c>
      <c r="AU56" s="739">
        <v>0</v>
      </c>
      <c r="AV56" s="739">
        <v>0</v>
      </c>
      <c r="AW56" s="739">
        <v>0</v>
      </c>
      <c r="AX56" s="739">
        <v>0</v>
      </c>
      <c r="AY56" s="739">
        <v>0</v>
      </c>
      <c r="AZ56" s="739">
        <v>0</v>
      </c>
      <c r="BA56" s="739">
        <v>0</v>
      </c>
      <c r="BB56" s="739">
        <v>0</v>
      </c>
      <c r="BC56" s="739">
        <v>0</v>
      </c>
      <c r="BD56" s="739">
        <v>0</v>
      </c>
      <c r="BE56" s="739">
        <v>0</v>
      </c>
      <c r="BF56" s="739">
        <v>0</v>
      </c>
      <c r="BG56" s="739">
        <v>0</v>
      </c>
      <c r="BH56" s="739">
        <v>0</v>
      </c>
      <c r="BI56" s="739">
        <v>0</v>
      </c>
      <c r="BJ56" s="739">
        <v>0</v>
      </c>
      <c r="BK56" s="739">
        <v>0</v>
      </c>
      <c r="BL56" s="739">
        <v>0</v>
      </c>
      <c r="BM56" s="739">
        <v>0</v>
      </c>
      <c r="BN56" s="739">
        <v>0</v>
      </c>
      <c r="BO56" s="739">
        <v>0</v>
      </c>
      <c r="BP56" s="739">
        <v>0</v>
      </c>
      <c r="BQ56" s="739">
        <v>0</v>
      </c>
      <c r="BR56" s="739">
        <v>0</v>
      </c>
      <c r="BS56" s="739">
        <v>0</v>
      </c>
      <c r="BT56" s="740">
        <v>0</v>
      </c>
    </row>
    <row r="57" spans="2:72" ht="14.5">
      <c r="B57" s="737" t="s">
        <v>756</v>
      </c>
      <c r="C57" s="737" t="s">
        <v>744</v>
      </c>
      <c r="D57" s="737" t="s">
        <v>757</v>
      </c>
      <c r="E57" s="737" t="s">
        <v>745</v>
      </c>
      <c r="F57" s="737" t="s">
        <v>29</v>
      </c>
      <c r="G57" s="737" t="s">
        <v>747</v>
      </c>
      <c r="H57" s="737">
        <v>2012</v>
      </c>
      <c r="I57" s="636" t="s">
        <v>572</v>
      </c>
      <c r="J57" s="636" t="s">
        <v>589</v>
      </c>
      <c r="K57" s="50"/>
      <c r="L57" s="738"/>
      <c r="M57" s="739">
        <v>267</v>
      </c>
      <c r="N57" s="739">
        <v>0</v>
      </c>
      <c r="O57" s="739">
        <v>0</v>
      </c>
      <c r="P57" s="739">
        <v>0</v>
      </c>
      <c r="Q57" s="739">
        <v>0</v>
      </c>
      <c r="R57" s="739">
        <v>0</v>
      </c>
      <c r="S57" s="739">
        <v>0</v>
      </c>
      <c r="T57" s="739">
        <v>0</v>
      </c>
      <c r="U57" s="739">
        <v>0</v>
      </c>
      <c r="V57" s="739">
        <v>0</v>
      </c>
      <c r="W57" s="739">
        <v>0</v>
      </c>
      <c r="X57" s="739">
        <v>0</v>
      </c>
      <c r="Y57" s="739">
        <v>0</v>
      </c>
      <c r="Z57" s="739">
        <v>0</v>
      </c>
      <c r="AA57" s="739">
        <v>0</v>
      </c>
      <c r="AB57" s="739">
        <v>0</v>
      </c>
      <c r="AC57" s="739">
        <v>0</v>
      </c>
      <c r="AD57" s="739">
        <v>0</v>
      </c>
      <c r="AE57" s="739">
        <v>0</v>
      </c>
      <c r="AF57" s="739">
        <v>0</v>
      </c>
      <c r="AG57" s="739">
        <v>0</v>
      </c>
      <c r="AH57" s="739">
        <v>0</v>
      </c>
      <c r="AI57" s="739">
        <v>0</v>
      </c>
      <c r="AJ57" s="739">
        <v>0</v>
      </c>
      <c r="AK57" s="739">
        <v>0</v>
      </c>
      <c r="AL57" s="739">
        <v>0</v>
      </c>
      <c r="AM57" s="739">
        <v>0</v>
      </c>
      <c r="AN57" s="739">
        <v>0</v>
      </c>
      <c r="AO57" s="740">
        <v>0</v>
      </c>
      <c r="AP57" s="50"/>
      <c r="AQ57" s="738"/>
      <c r="AR57" s="739">
        <v>2136</v>
      </c>
      <c r="AS57" s="739">
        <v>0</v>
      </c>
      <c r="AT57" s="739">
        <v>0</v>
      </c>
      <c r="AU57" s="739">
        <v>0</v>
      </c>
      <c r="AV57" s="739">
        <v>0</v>
      </c>
      <c r="AW57" s="739">
        <v>0</v>
      </c>
      <c r="AX57" s="739">
        <v>0</v>
      </c>
      <c r="AY57" s="739">
        <v>0</v>
      </c>
      <c r="AZ57" s="739">
        <v>0</v>
      </c>
      <c r="BA57" s="739">
        <v>0</v>
      </c>
      <c r="BB57" s="739">
        <v>0</v>
      </c>
      <c r="BC57" s="739">
        <v>0</v>
      </c>
      <c r="BD57" s="739">
        <v>0</v>
      </c>
      <c r="BE57" s="739">
        <v>0</v>
      </c>
      <c r="BF57" s="739">
        <v>0</v>
      </c>
      <c r="BG57" s="739">
        <v>0</v>
      </c>
      <c r="BH57" s="739">
        <v>0</v>
      </c>
      <c r="BI57" s="739">
        <v>0</v>
      </c>
      <c r="BJ57" s="739">
        <v>0</v>
      </c>
      <c r="BK57" s="739">
        <v>0</v>
      </c>
      <c r="BL57" s="739">
        <v>0</v>
      </c>
      <c r="BM57" s="739">
        <v>0</v>
      </c>
      <c r="BN57" s="739">
        <v>0</v>
      </c>
      <c r="BO57" s="739">
        <v>0</v>
      </c>
      <c r="BP57" s="739">
        <v>0</v>
      </c>
      <c r="BQ57" s="739">
        <v>0</v>
      </c>
      <c r="BR57" s="739">
        <v>0</v>
      </c>
      <c r="BS57" s="739">
        <v>0</v>
      </c>
      <c r="BT57" s="740">
        <v>0</v>
      </c>
    </row>
    <row r="58" spans="2:72" ht="14.5">
      <c r="B58" s="737" t="s">
        <v>756</v>
      </c>
      <c r="C58" s="737" t="s">
        <v>744</v>
      </c>
      <c r="D58" s="737" t="s">
        <v>757</v>
      </c>
      <c r="E58" s="737" t="s">
        <v>745</v>
      </c>
      <c r="F58" s="737" t="s">
        <v>29</v>
      </c>
      <c r="G58" s="737" t="s">
        <v>747</v>
      </c>
      <c r="H58" s="737">
        <v>2012</v>
      </c>
      <c r="I58" s="636" t="s">
        <v>572</v>
      </c>
      <c r="J58" s="636" t="s">
        <v>589</v>
      </c>
      <c r="K58" s="50"/>
      <c r="L58" s="738"/>
      <c r="M58" s="739">
        <v>0.59999999999999998</v>
      </c>
      <c r="N58" s="739">
        <v>0</v>
      </c>
      <c r="O58" s="739">
        <v>0</v>
      </c>
      <c r="P58" s="739">
        <v>0</v>
      </c>
      <c r="Q58" s="739">
        <v>0</v>
      </c>
      <c r="R58" s="739">
        <v>0</v>
      </c>
      <c r="S58" s="739">
        <v>0</v>
      </c>
      <c r="T58" s="739">
        <v>0</v>
      </c>
      <c r="U58" s="739">
        <v>0</v>
      </c>
      <c r="V58" s="739">
        <v>0</v>
      </c>
      <c r="W58" s="739">
        <v>0</v>
      </c>
      <c r="X58" s="739">
        <v>0</v>
      </c>
      <c r="Y58" s="739">
        <v>0</v>
      </c>
      <c r="Z58" s="739">
        <v>0</v>
      </c>
      <c r="AA58" s="739">
        <v>0</v>
      </c>
      <c r="AB58" s="739">
        <v>0</v>
      </c>
      <c r="AC58" s="739">
        <v>0</v>
      </c>
      <c r="AD58" s="739">
        <v>0</v>
      </c>
      <c r="AE58" s="739">
        <v>0</v>
      </c>
      <c r="AF58" s="739">
        <v>0</v>
      </c>
      <c r="AG58" s="739">
        <v>0</v>
      </c>
      <c r="AH58" s="739">
        <v>0</v>
      </c>
      <c r="AI58" s="739">
        <v>0</v>
      </c>
      <c r="AJ58" s="739">
        <v>0</v>
      </c>
      <c r="AK58" s="739">
        <v>0</v>
      </c>
      <c r="AL58" s="739">
        <v>0</v>
      </c>
      <c r="AM58" s="739">
        <v>0</v>
      </c>
      <c r="AN58" s="739">
        <v>0</v>
      </c>
      <c r="AO58" s="740">
        <v>0</v>
      </c>
      <c r="AP58" s="50"/>
      <c r="AQ58" s="738"/>
      <c r="AR58" s="739">
        <v>4.7999999999999998</v>
      </c>
      <c r="AS58" s="739">
        <v>0</v>
      </c>
      <c r="AT58" s="739">
        <v>0</v>
      </c>
      <c r="AU58" s="739">
        <v>0</v>
      </c>
      <c r="AV58" s="739">
        <v>0</v>
      </c>
      <c r="AW58" s="739">
        <v>0</v>
      </c>
      <c r="AX58" s="739">
        <v>0</v>
      </c>
      <c r="AY58" s="739">
        <v>0</v>
      </c>
      <c r="AZ58" s="739">
        <v>0</v>
      </c>
      <c r="BA58" s="739">
        <v>0</v>
      </c>
      <c r="BB58" s="739">
        <v>0</v>
      </c>
      <c r="BC58" s="739">
        <v>0</v>
      </c>
      <c r="BD58" s="739">
        <v>0</v>
      </c>
      <c r="BE58" s="739">
        <v>0</v>
      </c>
      <c r="BF58" s="739">
        <v>0</v>
      </c>
      <c r="BG58" s="739">
        <v>0</v>
      </c>
      <c r="BH58" s="739">
        <v>0</v>
      </c>
      <c r="BI58" s="739">
        <v>0</v>
      </c>
      <c r="BJ58" s="739">
        <v>0</v>
      </c>
      <c r="BK58" s="739">
        <v>0</v>
      </c>
      <c r="BL58" s="739">
        <v>0</v>
      </c>
      <c r="BM58" s="739">
        <v>0</v>
      </c>
      <c r="BN58" s="739">
        <v>0</v>
      </c>
      <c r="BO58" s="739">
        <v>0</v>
      </c>
      <c r="BP58" s="739">
        <v>0</v>
      </c>
      <c r="BQ58" s="739">
        <v>0</v>
      </c>
      <c r="BR58" s="739">
        <v>0</v>
      </c>
      <c r="BS58" s="739">
        <v>0</v>
      </c>
      <c r="BT58" s="740">
        <v>0</v>
      </c>
    </row>
    <row r="59" spans="2:72" ht="14.5">
      <c r="B59" s="737" t="s">
        <v>756</v>
      </c>
      <c r="C59" s="737" t="s">
        <v>748</v>
      </c>
      <c r="D59" s="737" t="s">
        <v>757</v>
      </c>
      <c r="E59" s="737" t="s">
        <v>745</v>
      </c>
      <c r="F59" s="737" t="s">
        <v>748</v>
      </c>
      <c r="G59" s="737" t="s">
        <v>747</v>
      </c>
      <c r="H59" s="737">
        <v>2012</v>
      </c>
      <c r="I59" s="636" t="s">
        <v>572</v>
      </c>
      <c r="J59" s="636" t="s">
        <v>589</v>
      </c>
      <c r="K59" s="50"/>
      <c r="L59" s="738"/>
      <c r="M59" s="739">
        <v>13.44</v>
      </c>
      <c r="N59" s="739">
        <v>0</v>
      </c>
      <c r="O59" s="739">
        <v>0</v>
      </c>
      <c r="P59" s="739">
        <v>0</v>
      </c>
      <c r="Q59" s="739">
        <v>0</v>
      </c>
      <c r="R59" s="739">
        <v>0</v>
      </c>
      <c r="S59" s="739">
        <v>0</v>
      </c>
      <c r="T59" s="739">
        <v>0</v>
      </c>
      <c r="U59" s="739">
        <v>0</v>
      </c>
      <c r="V59" s="739">
        <v>0</v>
      </c>
      <c r="W59" s="739">
        <v>0</v>
      </c>
      <c r="X59" s="739">
        <v>0</v>
      </c>
      <c r="Y59" s="739">
        <v>0</v>
      </c>
      <c r="Z59" s="739">
        <v>0</v>
      </c>
      <c r="AA59" s="739">
        <v>0</v>
      </c>
      <c r="AB59" s="739">
        <v>0</v>
      </c>
      <c r="AC59" s="739">
        <v>0</v>
      </c>
      <c r="AD59" s="739">
        <v>0</v>
      </c>
      <c r="AE59" s="739">
        <v>0</v>
      </c>
      <c r="AF59" s="739">
        <v>0</v>
      </c>
      <c r="AG59" s="739">
        <v>0</v>
      </c>
      <c r="AH59" s="739">
        <v>0</v>
      </c>
      <c r="AI59" s="739">
        <v>0</v>
      </c>
      <c r="AJ59" s="739">
        <v>0</v>
      </c>
      <c r="AK59" s="739">
        <v>0</v>
      </c>
      <c r="AL59" s="739">
        <v>0</v>
      </c>
      <c r="AM59" s="739">
        <v>0</v>
      </c>
      <c r="AN59" s="739">
        <v>0</v>
      </c>
      <c r="AO59" s="740">
        <v>0</v>
      </c>
      <c r="AP59" s="50"/>
      <c r="AQ59" s="738"/>
      <c r="AR59" s="739">
        <v>76.439999999999998</v>
      </c>
      <c r="AS59" s="739">
        <v>0</v>
      </c>
      <c r="AT59" s="739">
        <v>0</v>
      </c>
      <c r="AU59" s="739">
        <v>0</v>
      </c>
      <c r="AV59" s="739">
        <v>0</v>
      </c>
      <c r="AW59" s="739">
        <v>0</v>
      </c>
      <c r="AX59" s="739">
        <v>0</v>
      </c>
      <c r="AY59" s="739">
        <v>0</v>
      </c>
      <c r="AZ59" s="739">
        <v>0</v>
      </c>
      <c r="BA59" s="739">
        <v>0</v>
      </c>
      <c r="BB59" s="739">
        <v>0</v>
      </c>
      <c r="BC59" s="739">
        <v>0</v>
      </c>
      <c r="BD59" s="739">
        <v>0</v>
      </c>
      <c r="BE59" s="739">
        <v>0</v>
      </c>
      <c r="BF59" s="739">
        <v>0</v>
      </c>
      <c r="BG59" s="739">
        <v>0</v>
      </c>
      <c r="BH59" s="739">
        <v>0</v>
      </c>
      <c r="BI59" s="739">
        <v>0</v>
      </c>
      <c r="BJ59" s="739">
        <v>0</v>
      </c>
      <c r="BK59" s="739">
        <v>0</v>
      </c>
      <c r="BL59" s="739">
        <v>0</v>
      </c>
      <c r="BM59" s="739">
        <v>0</v>
      </c>
      <c r="BN59" s="739">
        <v>0</v>
      </c>
      <c r="BO59" s="739">
        <v>0</v>
      </c>
      <c r="BP59" s="739">
        <v>0</v>
      </c>
      <c r="BQ59" s="739">
        <v>0</v>
      </c>
      <c r="BR59" s="739">
        <v>0</v>
      </c>
      <c r="BS59" s="739">
        <v>0</v>
      </c>
      <c r="BT59" s="740">
        <v>0</v>
      </c>
    </row>
    <row r="60" spans="2:73" ht="15.5">
      <c r="B60" s="737" t="s">
        <v>756</v>
      </c>
      <c r="C60" s="737" t="s">
        <v>748</v>
      </c>
      <c r="D60" s="737" t="s">
        <v>757</v>
      </c>
      <c r="E60" s="737" t="s">
        <v>745</v>
      </c>
      <c r="F60" s="737" t="s">
        <v>748</v>
      </c>
      <c r="G60" s="737" t="s">
        <v>747</v>
      </c>
      <c r="H60" s="737">
        <v>2012</v>
      </c>
      <c r="I60" s="636" t="s">
        <v>572</v>
      </c>
      <c r="J60" s="636" t="s">
        <v>589</v>
      </c>
      <c r="K60" s="50"/>
      <c r="L60" s="738"/>
      <c r="M60" s="739">
        <v>0.29999999999999999</v>
      </c>
      <c r="N60" s="739">
        <v>0</v>
      </c>
      <c r="O60" s="739">
        <v>0</v>
      </c>
      <c r="P60" s="739">
        <v>0</v>
      </c>
      <c r="Q60" s="739">
        <v>0</v>
      </c>
      <c r="R60" s="739">
        <v>0</v>
      </c>
      <c r="S60" s="739">
        <v>0</v>
      </c>
      <c r="T60" s="739">
        <v>0</v>
      </c>
      <c r="U60" s="739">
        <v>0</v>
      </c>
      <c r="V60" s="739">
        <v>0</v>
      </c>
      <c r="W60" s="739">
        <v>0</v>
      </c>
      <c r="X60" s="739">
        <v>0</v>
      </c>
      <c r="Y60" s="739">
        <v>0</v>
      </c>
      <c r="Z60" s="739">
        <v>0</v>
      </c>
      <c r="AA60" s="739">
        <v>0</v>
      </c>
      <c r="AB60" s="739">
        <v>0</v>
      </c>
      <c r="AC60" s="739">
        <v>0</v>
      </c>
      <c r="AD60" s="739">
        <v>0</v>
      </c>
      <c r="AE60" s="739">
        <v>0</v>
      </c>
      <c r="AF60" s="739">
        <v>0</v>
      </c>
      <c r="AG60" s="739">
        <v>0</v>
      </c>
      <c r="AH60" s="739">
        <v>0</v>
      </c>
      <c r="AI60" s="739">
        <v>0</v>
      </c>
      <c r="AJ60" s="739">
        <v>0</v>
      </c>
      <c r="AK60" s="739">
        <v>0</v>
      </c>
      <c r="AL60" s="739">
        <v>0</v>
      </c>
      <c r="AM60" s="739">
        <v>0</v>
      </c>
      <c r="AN60" s="739">
        <v>0</v>
      </c>
      <c r="AO60" s="740">
        <v>0</v>
      </c>
      <c r="AP60" s="50"/>
      <c r="AQ60" s="738"/>
      <c r="AR60" s="739">
        <v>2.3999999999999999</v>
      </c>
      <c r="AS60" s="739">
        <v>0</v>
      </c>
      <c r="AT60" s="739">
        <v>0</v>
      </c>
      <c r="AU60" s="739">
        <v>0</v>
      </c>
      <c r="AV60" s="739">
        <v>0</v>
      </c>
      <c r="AW60" s="739">
        <v>0</v>
      </c>
      <c r="AX60" s="739">
        <v>0</v>
      </c>
      <c r="AY60" s="739">
        <v>0</v>
      </c>
      <c r="AZ60" s="739">
        <v>0</v>
      </c>
      <c r="BA60" s="739">
        <v>0</v>
      </c>
      <c r="BB60" s="739">
        <v>0</v>
      </c>
      <c r="BC60" s="739">
        <v>0</v>
      </c>
      <c r="BD60" s="739">
        <v>0</v>
      </c>
      <c r="BE60" s="739">
        <v>0</v>
      </c>
      <c r="BF60" s="739">
        <v>0</v>
      </c>
      <c r="BG60" s="739">
        <v>0</v>
      </c>
      <c r="BH60" s="739">
        <v>0</v>
      </c>
      <c r="BI60" s="739">
        <v>0</v>
      </c>
      <c r="BJ60" s="739">
        <v>0</v>
      </c>
      <c r="BK60" s="739">
        <v>0</v>
      </c>
      <c r="BL60" s="739">
        <v>0</v>
      </c>
      <c r="BM60" s="739">
        <v>0</v>
      </c>
      <c r="BN60" s="739">
        <v>0</v>
      </c>
      <c r="BO60" s="739">
        <v>0</v>
      </c>
      <c r="BP60" s="739">
        <v>0</v>
      </c>
      <c r="BQ60" s="739">
        <v>0</v>
      </c>
      <c r="BR60" s="739">
        <v>0</v>
      </c>
      <c r="BS60" s="739">
        <v>0</v>
      </c>
      <c r="BT60" s="740">
        <v>0</v>
      </c>
      <c r="BU60" s="163"/>
    </row>
    <row r="61" spans="2:72" ht="14.5">
      <c r="B61" s="737" t="s">
        <v>756</v>
      </c>
      <c r="C61" s="737" t="s">
        <v>748</v>
      </c>
      <c r="D61" s="737" t="s">
        <v>757</v>
      </c>
      <c r="E61" s="737" t="s">
        <v>745</v>
      </c>
      <c r="F61" s="737" t="s">
        <v>748</v>
      </c>
      <c r="G61" s="737" t="s">
        <v>747</v>
      </c>
      <c r="H61" s="737">
        <v>2012</v>
      </c>
      <c r="I61" s="636" t="s">
        <v>572</v>
      </c>
      <c r="J61" s="636" t="s">
        <v>589</v>
      </c>
      <c r="K61" s="50"/>
      <c r="L61" s="738"/>
      <c r="M61" s="739">
        <v>0.90000000000000002</v>
      </c>
      <c r="N61" s="739">
        <v>0</v>
      </c>
      <c r="O61" s="739">
        <v>0</v>
      </c>
      <c r="P61" s="739">
        <v>0</v>
      </c>
      <c r="Q61" s="739">
        <v>0</v>
      </c>
      <c r="R61" s="739">
        <v>0</v>
      </c>
      <c r="S61" s="739">
        <v>0</v>
      </c>
      <c r="T61" s="739">
        <v>0</v>
      </c>
      <c r="U61" s="739">
        <v>0</v>
      </c>
      <c r="V61" s="739">
        <v>0</v>
      </c>
      <c r="W61" s="739">
        <v>0</v>
      </c>
      <c r="X61" s="739">
        <v>0</v>
      </c>
      <c r="Y61" s="739">
        <v>0</v>
      </c>
      <c r="Z61" s="739">
        <v>0</v>
      </c>
      <c r="AA61" s="739">
        <v>0</v>
      </c>
      <c r="AB61" s="739">
        <v>0</v>
      </c>
      <c r="AC61" s="739">
        <v>0</v>
      </c>
      <c r="AD61" s="739">
        <v>0</v>
      </c>
      <c r="AE61" s="739">
        <v>0</v>
      </c>
      <c r="AF61" s="739">
        <v>0</v>
      </c>
      <c r="AG61" s="739">
        <v>0</v>
      </c>
      <c r="AH61" s="739">
        <v>0</v>
      </c>
      <c r="AI61" s="739">
        <v>0</v>
      </c>
      <c r="AJ61" s="739">
        <v>0</v>
      </c>
      <c r="AK61" s="739">
        <v>0</v>
      </c>
      <c r="AL61" s="739">
        <v>0</v>
      </c>
      <c r="AM61" s="739">
        <v>0</v>
      </c>
      <c r="AN61" s="739">
        <v>0</v>
      </c>
      <c r="AO61" s="740">
        <v>0</v>
      </c>
      <c r="AP61" s="50"/>
      <c r="AQ61" s="738"/>
      <c r="AR61" s="739">
        <v>7.2000000000000002</v>
      </c>
      <c r="AS61" s="739">
        <v>0</v>
      </c>
      <c r="AT61" s="739">
        <v>0</v>
      </c>
      <c r="AU61" s="739">
        <v>0</v>
      </c>
      <c r="AV61" s="739">
        <v>0</v>
      </c>
      <c r="AW61" s="739">
        <v>0</v>
      </c>
      <c r="AX61" s="739">
        <v>0</v>
      </c>
      <c r="AY61" s="739">
        <v>0</v>
      </c>
      <c r="AZ61" s="739">
        <v>0</v>
      </c>
      <c r="BA61" s="739">
        <v>0</v>
      </c>
      <c r="BB61" s="739">
        <v>0</v>
      </c>
      <c r="BC61" s="739">
        <v>0</v>
      </c>
      <c r="BD61" s="739">
        <v>0</v>
      </c>
      <c r="BE61" s="739">
        <v>0</v>
      </c>
      <c r="BF61" s="739">
        <v>0</v>
      </c>
      <c r="BG61" s="739">
        <v>0</v>
      </c>
      <c r="BH61" s="739">
        <v>0</v>
      </c>
      <c r="BI61" s="739">
        <v>0</v>
      </c>
      <c r="BJ61" s="739">
        <v>0</v>
      </c>
      <c r="BK61" s="739">
        <v>0</v>
      </c>
      <c r="BL61" s="739">
        <v>0</v>
      </c>
      <c r="BM61" s="739">
        <v>0</v>
      </c>
      <c r="BN61" s="739">
        <v>0</v>
      </c>
      <c r="BO61" s="739">
        <v>0</v>
      </c>
      <c r="BP61" s="739">
        <v>0</v>
      </c>
      <c r="BQ61" s="739">
        <v>0</v>
      </c>
      <c r="BR61" s="739">
        <v>0</v>
      </c>
      <c r="BS61" s="739">
        <v>0</v>
      </c>
      <c r="BT61" s="740">
        <v>0</v>
      </c>
    </row>
    <row r="62" spans="2:72" ht="14.5">
      <c r="B62" s="737" t="s">
        <v>756</v>
      </c>
      <c r="C62" s="737" t="s">
        <v>748</v>
      </c>
      <c r="D62" s="737" t="s">
        <v>757</v>
      </c>
      <c r="E62" s="737" t="s">
        <v>745</v>
      </c>
      <c r="F62" s="737" t="s">
        <v>748</v>
      </c>
      <c r="G62" s="737" t="s">
        <v>747</v>
      </c>
      <c r="H62" s="737">
        <v>2012</v>
      </c>
      <c r="I62" s="636" t="s">
        <v>572</v>
      </c>
      <c r="J62" s="636" t="s">
        <v>589</v>
      </c>
      <c r="K62" s="50"/>
      <c r="L62" s="738"/>
      <c r="M62" s="739">
        <v>84.599999999999994</v>
      </c>
      <c r="N62" s="739">
        <v>0</v>
      </c>
      <c r="O62" s="739">
        <v>0</v>
      </c>
      <c r="P62" s="739">
        <v>0</v>
      </c>
      <c r="Q62" s="739">
        <v>0</v>
      </c>
      <c r="R62" s="739">
        <v>0</v>
      </c>
      <c r="S62" s="739">
        <v>0</v>
      </c>
      <c r="T62" s="739">
        <v>0</v>
      </c>
      <c r="U62" s="739">
        <v>0</v>
      </c>
      <c r="V62" s="739">
        <v>0</v>
      </c>
      <c r="W62" s="739">
        <v>0</v>
      </c>
      <c r="X62" s="739">
        <v>0</v>
      </c>
      <c r="Y62" s="739">
        <v>0</v>
      </c>
      <c r="Z62" s="739">
        <v>0</v>
      </c>
      <c r="AA62" s="739">
        <v>0</v>
      </c>
      <c r="AB62" s="739">
        <v>0</v>
      </c>
      <c r="AC62" s="739">
        <v>0</v>
      </c>
      <c r="AD62" s="739">
        <v>0</v>
      </c>
      <c r="AE62" s="739">
        <v>0</v>
      </c>
      <c r="AF62" s="739">
        <v>0</v>
      </c>
      <c r="AG62" s="739">
        <v>0</v>
      </c>
      <c r="AH62" s="739">
        <v>0</v>
      </c>
      <c r="AI62" s="739">
        <v>0</v>
      </c>
      <c r="AJ62" s="739">
        <v>0</v>
      </c>
      <c r="AK62" s="739">
        <v>0</v>
      </c>
      <c r="AL62" s="739">
        <v>0</v>
      </c>
      <c r="AM62" s="739">
        <v>0</v>
      </c>
      <c r="AN62" s="739">
        <v>0</v>
      </c>
      <c r="AO62" s="740">
        <v>0</v>
      </c>
      <c r="AP62" s="50"/>
      <c r="AQ62" s="738"/>
      <c r="AR62" s="739">
        <v>676.79999999999995</v>
      </c>
      <c r="AS62" s="739">
        <v>0</v>
      </c>
      <c r="AT62" s="739">
        <v>0</v>
      </c>
      <c r="AU62" s="739">
        <v>0</v>
      </c>
      <c r="AV62" s="739">
        <v>0</v>
      </c>
      <c r="AW62" s="739">
        <v>0</v>
      </c>
      <c r="AX62" s="739">
        <v>0</v>
      </c>
      <c r="AY62" s="739">
        <v>0</v>
      </c>
      <c r="AZ62" s="739">
        <v>0</v>
      </c>
      <c r="BA62" s="739">
        <v>0</v>
      </c>
      <c r="BB62" s="739">
        <v>0</v>
      </c>
      <c r="BC62" s="739">
        <v>0</v>
      </c>
      <c r="BD62" s="739">
        <v>0</v>
      </c>
      <c r="BE62" s="739">
        <v>0</v>
      </c>
      <c r="BF62" s="739">
        <v>0</v>
      </c>
      <c r="BG62" s="739">
        <v>0</v>
      </c>
      <c r="BH62" s="739">
        <v>0</v>
      </c>
      <c r="BI62" s="739">
        <v>0</v>
      </c>
      <c r="BJ62" s="739">
        <v>0</v>
      </c>
      <c r="BK62" s="739">
        <v>0</v>
      </c>
      <c r="BL62" s="739">
        <v>0</v>
      </c>
      <c r="BM62" s="739">
        <v>0</v>
      </c>
      <c r="BN62" s="739">
        <v>0</v>
      </c>
      <c r="BO62" s="739">
        <v>0</v>
      </c>
      <c r="BP62" s="739">
        <v>0</v>
      </c>
      <c r="BQ62" s="739">
        <v>0</v>
      </c>
      <c r="BR62" s="739">
        <v>0</v>
      </c>
      <c r="BS62" s="739">
        <v>0</v>
      </c>
      <c r="BT62" s="740">
        <v>0</v>
      </c>
    </row>
    <row r="63" spans="2:72" ht="14.5">
      <c r="B63" s="737" t="s">
        <v>756</v>
      </c>
      <c r="C63" s="737" t="s">
        <v>748</v>
      </c>
      <c r="D63" s="737" t="s">
        <v>757</v>
      </c>
      <c r="E63" s="737" t="s">
        <v>745</v>
      </c>
      <c r="F63" s="737" t="s">
        <v>748</v>
      </c>
      <c r="G63" s="737" t="s">
        <v>747</v>
      </c>
      <c r="H63" s="737">
        <v>2012</v>
      </c>
      <c r="I63" s="636" t="s">
        <v>572</v>
      </c>
      <c r="J63" s="636" t="s">
        <v>589</v>
      </c>
      <c r="K63" s="50"/>
      <c r="L63" s="738"/>
      <c r="M63" s="739">
        <v>0.59999999999999998</v>
      </c>
      <c r="N63" s="739">
        <v>0</v>
      </c>
      <c r="O63" s="739">
        <v>0</v>
      </c>
      <c r="P63" s="739">
        <v>0</v>
      </c>
      <c r="Q63" s="739">
        <v>0</v>
      </c>
      <c r="R63" s="739">
        <v>0</v>
      </c>
      <c r="S63" s="739">
        <v>0</v>
      </c>
      <c r="T63" s="739">
        <v>0</v>
      </c>
      <c r="U63" s="739">
        <v>0</v>
      </c>
      <c r="V63" s="739">
        <v>0</v>
      </c>
      <c r="W63" s="739">
        <v>0</v>
      </c>
      <c r="X63" s="739">
        <v>0</v>
      </c>
      <c r="Y63" s="739">
        <v>0</v>
      </c>
      <c r="Z63" s="739">
        <v>0</v>
      </c>
      <c r="AA63" s="739">
        <v>0</v>
      </c>
      <c r="AB63" s="739">
        <v>0</v>
      </c>
      <c r="AC63" s="739">
        <v>0</v>
      </c>
      <c r="AD63" s="739">
        <v>0</v>
      </c>
      <c r="AE63" s="739">
        <v>0</v>
      </c>
      <c r="AF63" s="739">
        <v>0</v>
      </c>
      <c r="AG63" s="739">
        <v>0</v>
      </c>
      <c r="AH63" s="739">
        <v>0</v>
      </c>
      <c r="AI63" s="739">
        <v>0</v>
      </c>
      <c r="AJ63" s="739">
        <v>0</v>
      </c>
      <c r="AK63" s="739">
        <v>0</v>
      </c>
      <c r="AL63" s="739">
        <v>0</v>
      </c>
      <c r="AM63" s="739">
        <v>0</v>
      </c>
      <c r="AN63" s="739">
        <v>0</v>
      </c>
      <c r="AO63" s="740">
        <v>0</v>
      </c>
      <c r="AP63" s="50"/>
      <c r="AQ63" s="738"/>
      <c r="AR63" s="739">
        <v>4.7999999999999998</v>
      </c>
      <c r="AS63" s="739">
        <v>0</v>
      </c>
      <c r="AT63" s="739">
        <v>0</v>
      </c>
      <c r="AU63" s="739">
        <v>0</v>
      </c>
      <c r="AV63" s="739">
        <v>0</v>
      </c>
      <c r="AW63" s="739">
        <v>0</v>
      </c>
      <c r="AX63" s="739">
        <v>0</v>
      </c>
      <c r="AY63" s="739">
        <v>0</v>
      </c>
      <c r="AZ63" s="739">
        <v>0</v>
      </c>
      <c r="BA63" s="739">
        <v>0</v>
      </c>
      <c r="BB63" s="739">
        <v>0</v>
      </c>
      <c r="BC63" s="739">
        <v>0</v>
      </c>
      <c r="BD63" s="739">
        <v>0</v>
      </c>
      <c r="BE63" s="739">
        <v>0</v>
      </c>
      <c r="BF63" s="739">
        <v>0</v>
      </c>
      <c r="BG63" s="739">
        <v>0</v>
      </c>
      <c r="BH63" s="739">
        <v>0</v>
      </c>
      <c r="BI63" s="739">
        <v>0</v>
      </c>
      <c r="BJ63" s="739">
        <v>0</v>
      </c>
      <c r="BK63" s="739">
        <v>0</v>
      </c>
      <c r="BL63" s="739">
        <v>0</v>
      </c>
      <c r="BM63" s="739">
        <v>0</v>
      </c>
      <c r="BN63" s="739">
        <v>0</v>
      </c>
      <c r="BO63" s="739">
        <v>0</v>
      </c>
      <c r="BP63" s="739">
        <v>0</v>
      </c>
      <c r="BQ63" s="739">
        <v>0</v>
      </c>
      <c r="BR63" s="739">
        <v>0</v>
      </c>
      <c r="BS63" s="739">
        <v>0</v>
      </c>
      <c r="BT63" s="740">
        <v>0</v>
      </c>
    </row>
    <row r="64" spans="2:72" ht="14.5">
      <c r="B64" s="737" t="s">
        <v>208</v>
      </c>
      <c r="C64" s="737" t="s">
        <v>748</v>
      </c>
      <c r="D64" s="737" t="s">
        <v>22</v>
      </c>
      <c r="E64" s="737" t="s">
        <v>745</v>
      </c>
      <c r="F64" s="737" t="s">
        <v>750</v>
      </c>
      <c r="G64" s="737" t="s">
        <v>746</v>
      </c>
      <c r="H64" s="737">
        <v>2012</v>
      </c>
      <c r="I64" s="636" t="s">
        <v>573</v>
      </c>
      <c r="J64" s="636" t="s">
        <v>582</v>
      </c>
      <c r="K64" s="50"/>
      <c r="L64" s="738"/>
      <c r="M64" s="739">
        <v>12.168868435</v>
      </c>
      <c r="N64" s="739">
        <v>12.168868435</v>
      </c>
      <c r="O64" s="739">
        <v>12.168868435</v>
      </c>
      <c r="P64" s="739">
        <v>12.168868435</v>
      </c>
      <c r="Q64" s="739">
        <v>12.168868435</v>
      </c>
      <c r="R64" s="739">
        <v>12.168868435</v>
      </c>
      <c r="S64" s="739">
        <v>12.168868435</v>
      </c>
      <c r="T64" s="739">
        <v>12.168868435</v>
      </c>
      <c r="U64" s="739">
        <v>12.168868435</v>
      </c>
      <c r="V64" s="739">
        <v>12.168868435</v>
      </c>
      <c r="W64" s="739">
        <v>12.168868435</v>
      </c>
      <c r="X64" s="739">
        <v>12.168868435</v>
      </c>
      <c r="Y64" s="739">
        <v>0</v>
      </c>
      <c r="Z64" s="739">
        <v>0</v>
      </c>
      <c r="AA64" s="739">
        <v>0</v>
      </c>
      <c r="AB64" s="739">
        <v>0</v>
      </c>
      <c r="AC64" s="739">
        <v>0</v>
      </c>
      <c r="AD64" s="739">
        <v>0</v>
      </c>
      <c r="AE64" s="739">
        <v>0</v>
      </c>
      <c r="AF64" s="739">
        <v>0</v>
      </c>
      <c r="AG64" s="739">
        <v>0</v>
      </c>
      <c r="AH64" s="739">
        <v>0</v>
      </c>
      <c r="AI64" s="739">
        <v>0</v>
      </c>
      <c r="AJ64" s="739">
        <v>0</v>
      </c>
      <c r="AK64" s="739">
        <v>0</v>
      </c>
      <c r="AL64" s="739">
        <v>0</v>
      </c>
      <c r="AM64" s="739">
        <v>0</v>
      </c>
      <c r="AN64" s="739">
        <v>0</v>
      </c>
      <c r="AO64" s="740">
        <v>0</v>
      </c>
      <c r="AP64" s="50"/>
      <c r="AQ64" s="738"/>
      <c r="AR64" s="739">
        <v>69162.097060236003</v>
      </c>
      <c r="AS64" s="739">
        <v>69162.097060236003</v>
      </c>
      <c r="AT64" s="739">
        <v>69162.097060236003</v>
      </c>
      <c r="AU64" s="739">
        <v>69162.097060236003</v>
      </c>
      <c r="AV64" s="739">
        <v>69162.097060236003</v>
      </c>
      <c r="AW64" s="739">
        <v>69162.097060236003</v>
      </c>
      <c r="AX64" s="739">
        <v>69162.097060236003</v>
      </c>
      <c r="AY64" s="739">
        <v>69162.097060236003</v>
      </c>
      <c r="AZ64" s="739">
        <v>69162.097060236003</v>
      </c>
      <c r="BA64" s="739">
        <v>69162.097060236003</v>
      </c>
      <c r="BB64" s="739">
        <v>69162.097060236003</v>
      </c>
      <c r="BC64" s="739">
        <v>69162.097060236003</v>
      </c>
      <c r="BD64" s="739">
        <v>0</v>
      </c>
      <c r="BE64" s="739">
        <v>0</v>
      </c>
      <c r="BF64" s="739">
        <v>0</v>
      </c>
      <c r="BG64" s="739">
        <v>0</v>
      </c>
      <c r="BH64" s="739">
        <v>0</v>
      </c>
      <c r="BI64" s="739">
        <v>0</v>
      </c>
      <c r="BJ64" s="739">
        <v>0</v>
      </c>
      <c r="BK64" s="739">
        <v>0</v>
      </c>
      <c r="BL64" s="739">
        <v>0</v>
      </c>
      <c r="BM64" s="739">
        <v>0</v>
      </c>
      <c r="BN64" s="739">
        <v>0</v>
      </c>
      <c r="BO64" s="739">
        <v>0</v>
      </c>
      <c r="BP64" s="739">
        <v>0</v>
      </c>
      <c r="BQ64" s="739">
        <v>0</v>
      </c>
      <c r="BR64" s="739">
        <v>0</v>
      </c>
      <c r="BS64" s="739">
        <v>0</v>
      </c>
      <c r="BT64" s="740">
        <v>0</v>
      </c>
    </row>
    <row r="65" spans="2:72" ht="14.5">
      <c r="B65" s="737" t="s">
        <v>208</v>
      </c>
      <c r="C65" s="737" t="s">
        <v>744</v>
      </c>
      <c r="D65" s="737" t="s">
        <v>758</v>
      </c>
      <c r="E65" s="737" t="s">
        <v>745</v>
      </c>
      <c r="F65" s="737" t="s">
        <v>29</v>
      </c>
      <c r="G65" s="737" t="s">
        <v>746</v>
      </c>
      <c r="H65" s="737">
        <v>2012</v>
      </c>
      <c r="I65" s="636" t="s">
        <v>573</v>
      </c>
      <c r="J65" s="636" t="s">
        <v>582</v>
      </c>
      <c r="K65" s="50"/>
      <c r="L65" s="738"/>
      <c r="M65" s="739">
        <v>2.7393723570000001</v>
      </c>
      <c r="N65" s="739">
        <v>2.7393723570000001</v>
      </c>
      <c r="O65" s="739">
        <v>2.7393723570000001</v>
      </c>
      <c r="P65" s="739">
        <v>2.7393723570000001</v>
      </c>
      <c r="Q65" s="739">
        <v>2.7393723570000001</v>
      </c>
      <c r="R65" s="739">
        <v>2.7393723570000001</v>
      </c>
      <c r="S65" s="739">
        <v>2.7393723570000001</v>
      </c>
      <c r="T65" s="739">
        <v>2.7393723570000001</v>
      </c>
      <c r="U65" s="739">
        <v>2.7393723570000001</v>
      </c>
      <c r="V65" s="739">
        <v>2.7393723570000001</v>
      </c>
      <c r="W65" s="739">
        <v>2.7393723570000001</v>
      </c>
      <c r="X65" s="739">
        <v>2.7393723570000001</v>
      </c>
      <c r="Y65" s="739">
        <v>2.7393723570000001</v>
      </c>
      <c r="Z65" s="739">
        <v>2.7393723570000001</v>
      </c>
      <c r="AA65" s="739">
        <v>2.7393723570000001</v>
      </c>
      <c r="AB65" s="739">
        <v>2.7393723570000001</v>
      </c>
      <c r="AC65" s="739">
        <v>2.7393723570000001</v>
      </c>
      <c r="AD65" s="739">
        <v>2.7393723570000001</v>
      </c>
      <c r="AE65" s="739">
        <v>2.7393723570000001</v>
      </c>
      <c r="AF65" s="739">
        <v>2.2556825580000002</v>
      </c>
      <c r="AG65" s="739">
        <v>0</v>
      </c>
      <c r="AH65" s="739">
        <v>0</v>
      </c>
      <c r="AI65" s="739">
        <v>0</v>
      </c>
      <c r="AJ65" s="739">
        <v>0</v>
      </c>
      <c r="AK65" s="739">
        <v>0</v>
      </c>
      <c r="AL65" s="739">
        <v>0</v>
      </c>
      <c r="AM65" s="739">
        <v>0</v>
      </c>
      <c r="AN65" s="739">
        <v>0</v>
      </c>
      <c r="AO65" s="740">
        <v>0</v>
      </c>
      <c r="AP65" s="50"/>
      <c r="AQ65" s="738"/>
      <c r="AR65" s="739">
        <v>5447.146448083</v>
      </c>
      <c r="AS65" s="739">
        <v>5447.146448083</v>
      </c>
      <c r="AT65" s="739">
        <v>5447.146448083</v>
      </c>
      <c r="AU65" s="739">
        <v>5447.146448083</v>
      </c>
      <c r="AV65" s="739">
        <v>5447.146448083</v>
      </c>
      <c r="AW65" s="739">
        <v>5447.146448083</v>
      </c>
      <c r="AX65" s="739">
        <v>5447.146448083</v>
      </c>
      <c r="AY65" s="739">
        <v>5447.146448083</v>
      </c>
      <c r="AZ65" s="739">
        <v>5447.146448083</v>
      </c>
      <c r="BA65" s="739">
        <v>5447.146448083</v>
      </c>
      <c r="BB65" s="739">
        <v>5447.146448083</v>
      </c>
      <c r="BC65" s="739">
        <v>5447.146448083</v>
      </c>
      <c r="BD65" s="739">
        <v>5447.146448083</v>
      </c>
      <c r="BE65" s="739">
        <v>5447.146448083</v>
      </c>
      <c r="BF65" s="739">
        <v>5447.146448083</v>
      </c>
      <c r="BG65" s="739">
        <v>5447.146448083</v>
      </c>
      <c r="BH65" s="739">
        <v>5447.146448083</v>
      </c>
      <c r="BI65" s="739">
        <v>5447.146448083</v>
      </c>
      <c r="BJ65" s="739">
        <v>4966.140370907</v>
      </c>
      <c r="BK65" s="739">
        <v>0</v>
      </c>
      <c r="BL65" s="739">
        <v>0</v>
      </c>
      <c r="BM65" s="739">
        <v>0</v>
      </c>
      <c r="BN65" s="739">
        <v>0</v>
      </c>
      <c r="BO65" s="739">
        <v>0</v>
      </c>
      <c r="BP65" s="739">
        <v>0</v>
      </c>
      <c r="BQ65" s="739">
        <v>0</v>
      </c>
      <c r="BR65" s="739">
        <v>0</v>
      </c>
      <c r="BS65" s="739">
        <v>0</v>
      </c>
      <c r="BT65" s="740">
        <v>0</v>
      </c>
    </row>
    <row r="66" spans="2:72" ht="14.5">
      <c r="B66" s="737" t="s">
        <v>208</v>
      </c>
      <c r="C66" s="737" t="s">
        <v>744</v>
      </c>
      <c r="D66" s="737" t="s">
        <v>758</v>
      </c>
      <c r="E66" s="737" t="s">
        <v>745</v>
      </c>
      <c r="F66" s="737" t="s">
        <v>29</v>
      </c>
      <c r="G66" s="737" t="s">
        <v>746</v>
      </c>
      <c r="H66" s="737">
        <v>2012</v>
      </c>
      <c r="I66" s="636" t="s">
        <v>573</v>
      </c>
      <c r="J66" s="636" t="s">
        <v>582</v>
      </c>
      <c r="K66" s="50"/>
      <c r="L66" s="738"/>
      <c r="M66" s="739">
        <v>0.022349817975166358</v>
      </c>
      <c r="N66" s="739">
        <v>0.022349817975166358</v>
      </c>
      <c r="O66" s="739">
        <v>0.022349817975166358</v>
      </c>
      <c r="P66" s="739">
        <v>0.022349817975166358</v>
      </c>
      <c r="Q66" s="739">
        <v>0.022349817975166358</v>
      </c>
      <c r="R66" s="739">
        <v>0.022349817975166358</v>
      </c>
      <c r="S66" s="739">
        <v>0.022349817975166358</v>
      </c>
      <c r="T66" s="739">
        <v>0.022349817975166358</v>
      </c>
      <c r="U66" s="739">
        <v>0.022349817975166358</v>
      </c>
      <c r="V66" s="739">
        <v>0.022349817975166358</v>
      </c>
      <c r="W66" s="739">
        <v>0.022349817975166358</v>
      </c>
      <c r="X66" s="739">
        <v>0.022349817975166358</v>
      </c>
      <c r="Y66" s="739">
        <v>0.022349817975166358</v>
      </c>
      <c r="Z66" s="739">
        <v>0.022349817975166358</v>
      </c>
      <c r="AA66" s="739">
        <v>0.022349817975166358</v>
      </c>
      <c r="AB66" s="739">
        <v>0.022349817975166358</v>
      </c>
      <c r="AC66" s="739">
        <v>0.022349817975166358</v>
      </c>
      <c r="AD66" s="739">
        <v>0.022349817975166358</v>
      </c>
      <c r="AE66" s="739">
        <v>0.022349817975166358</v>
      </c>
      <c r="AF66" s="739">
        <v>0.019210018847659095</v>
      </c>
      <c r="AG66" s="739">
        <v>0</v>
      </c>
      <c r="AH66" s="739">
        <v>0</v>
      </c>
      <c r="AI66" s="739">
        <v>0</v>
      </c>
      <c r="AJ66" s="739">
        <v>0</v>
      </c>
      <c r="AK66" s="739">
        <v>0</v>
      </c>
      <c r="AL66" s="739">
        <v>0</v>
      </c>
      <c r="AM66" s="739">
        <v>0</v>
      </c>
      <c r="AN66" s="739">
        <v>0</v>
      </c>
      <c r="AO66" s="740">
        <v>0</v>
      </c>
      <c r="AP66" s="50"/>
      <c r="AQ66" s="738"/>
      <c r="AR66" s="739">
        <v>45.440122919026102</v>
      </c>
      <c r="AS66" s="739">
        <v>45.440122919026102</v>
      </c>
      <c r="AT66" s="739">
        <v>45.440122919026102</v>
      </c>
      <c r="AU66" s="739">
        <v>45.440122919026102</v>
      </c>
      <c r="AV66" s="739">
        <v>45.440122919026102</v>
      </c>
      <c r="AW66" s="739">
        <v>45.440122919026102</v>
      </c>
      <c r="AX66" s="739">
        <v>45.440122919026102</v>
      </c>
      <c r="AY66" s="739">
        <v>45.440122919026102</v>
      </c>
      <c r="AZ66" s="739">
        <v>45.440122919026102</v>
      </c>
      <c r="BA66" s="739">
        <v>45.440122919026102</v>
      </c>
      <c r="BB66" s="739">
        <v>45.440122919026102</v>
      </c>
      <c r="BC66" s="739">
        <v>45.440122919026102</v>
      </c>
      <c r="BD66" s="739">
        <v>45.440122919026102</v>
      </c>
      <c r="BE66" s="739">
        <v>45.440122919026102</v>
      </c>
      <c r="BF66" s="739">
        <v>45.440122919026102</v>
      </c>
      <c r="BG66" s="739">
        <v>45.440122919026102</v>
      </c>
      <c r="BH66" s="739">
        <v>45.440122919026102</v>
      </c>
      <c r="BI66" s="739">
        <v>45.440122919026102</v>
      </c>
      <c r="BJ66" s="739">
        <v>42.293030008964756</v>
      </c>
      <c r="BK66" s="739">
        <v>0</v>
      </c>
      <c r="BL66" s="739">
        <v>0</v>
      </c>
      <c r="BM66" s="739">
        <v>0</v>
      </c>
      <c r="BN66" s="739">
        <v>0</v>
      </c>
      <c r="BO66" s="739">
        <v>0</v>
      </c>
      <c r="BP66" s="739">
        <v>0</v>
      </c>
      <c r="BQ66" s="739">
        <v>0</v>
      </c>
      <c r="BR66" s="739">
        <v>0</v>
      </c>
      <c r="BS66" s="739">
        <v>0</v>
      </c>
      <c r="BT66" s="740">
        <v>0</v>
      </c>
    </row>
    <row r="67" spans="2:72" ht="14.5">
      <c r="B67" s="737" t="s">
        <v>208</v>
      </c>
      <c r="C67" s="737" t="s">
        <v>744</v>
      </c>
      <c r="D67" s="737" t="s">
        <v>3</v>
      </c>
      <c r="E67" s="737" t="s">
        <v>745</v>
      </c>
      <c r="F67" s="737" t="s">
        <v>29</v>
      </c>
      <c r="G67" s="737" t="s">
        <v>746</v>
      </c>
      <c r="H67" s="737">
        <v>2012</v>
      </c>
      <c r="I67" s="636" t="s">
        <v>574</v>
      </c>
      <c r="J67" s="636" t="s">
        <v>582</v>
      </c>
      <c r="K67" s="50"/>
      <c r="L67" s="738"/>
      <c r="M67" s="739">
        <v>0.41899441399999998</v>
      </c>
      <c r="N67" s="739">
        <v>0.41899441399999998</v>
      </c>
      <c r="O67" s="739">
        <v>0.41899441399999998</v>
      </c>
      <c r="P67" s="739">
        <v>0.41899441399999998</v>
      </c>
      <c r="Q67" s="739">
        <v>0.41899441399999998</v>
      </c>
      <c r="R67" s="739">
        <v>0.41899441399999998</v>
      </c>
      <c r="S67" s="739">
        <v>0.41899441399999998</v>
      </c>
      <c r="T67" s="739">
        <v>0.41899441399999998</v>
      </c>
      <c r="U67" s="739">
        <v>0.41899441399999998</v>
      </c>
      <c r="V67" s="739">
        <v>0.41899441399999998</v>
      </c>
      <c r="W67" s="739">
        <v>0.41899441399999998</v>
      </c>
      <c r="X67" s="739">
        <v>0.41899441399999998</v>
      </c>
      <c r="Y67" s="739">
        <v>0.41899441399999998</v>
      </c>
      <c r="Z67" s="739">
        <v>0.41899441399999998</v>
      </c>
      <c r="AA67" s="739">
        <v>0.41899441399999998</v>
      </c>
      <c r="AB67" s="739">
        <v>0.41899441399999998</v>
      </c>
      <c r="AC67" s="739">
        <v>0.41899441399999998</v>
      </c>
      <c r="AD67" s="739">
        <v>0.41899441399999998</v>
      </c>
      <c r="AE67" s="739">
        <v>0.28444070599999999</v>
      </c>
      <c r="AF67" s="739">
        <v>0</v>
      </c>
      <c r="AG67" s="739">
        <v>0</v>
      </c>
      <c r="AH67" s="739">
        <v>0</v>
      </c>
      <c r="AI67" s="739">
        <v>0</v>
      </c>
      <c r="AJ67" s="739">
        <v>0</v>
      </c>
      <c r="AK67" s="739">
        <v>0</v>
      </c>
      <c r="AL67" s="739">
        <v>0</v>
      </c>
      <c r="AM67" s="739">
        <v>0</v>
      </c>
      <c r="AN67" s="739">
        <v>0</v>
      </c>
      <c r="AO67" s="740">
        <v>0</v>
      </c>
      <c r="AP67" s="50"/>
      <c r="AQ67" s="738"/>
      <c r="AR67" s="739">
        <v>671.58264059999999</v>
      </c>
      <c r="AS67" s="739">
        <v>671.58264059999999</v>
      </c>
      <c r="AT67" s="739">
        <v>671.58264059999999</v>
      </c>
      <c r="AU67" s="739">
        <v>671.58264059999999</v>
      </c>
      <c r="AV67" s="739">
        <v>671.58264059999999</v>
      </c>
      <c r="AW67" s="739">
        <v>671.58264059999999</v>
      </c>
      <c r="AX67" s="739">
        <v>671.58264059999999</v>
      </c>
      <c r="AY67" s="739">
        <v>671.58264059999999</v>
      </c>
      <c r="AZ67" s="739">
        <v>671.58264059999999</v>
      </c>
      <c r="BA67" s="739">
        <v>671.58264059999999</v>
      </c>
      <c r="BB67" s="739">
        <v>671.58264059999999</v>
      </c>
      <c r="BC67" s="739">
        <v>671.58264059999999</v>
      </c>
      <c r="BD67" s="739">
        <v>671.58264059999999</v>
      </c>
      <c r="BE67" s="739">
        <v>671.58264059999999</v>
      </c>
      <c r="BF67" s="739">
        <v>671.58264059999999</v>
      </c>
      <c r="BG67" s="739">
        <v>671.58264059999999</v>
      </c>
      <c r="BH67" s="739">
        <v>671.58264059999999</v>
      </c>
      <c r="BI67" s="739">
        <v>671.58264059999999</v>
      </c>
      <c r="BJ67" s="739">
        <v>551.2573926</v>
      </c>
      <c r="BK67" s="739">
        <v>0</v>
      </c>
      <c r="BL67" s="739">
        <v>0</v>
      </c>
      <c r="BM67" s="739">
        <v>0</v>
      </c>
      <c r="BN67" s="739">
        <v>0</v>
      </c>
      <c r="BO67" s="739">
        <v>0</v>
      </c>
      <c r="BP67" s="739">
        <v>0</v>
      </c>
      <c r="BQ67" s="739">
        <v>0</v>
      </c>
      <c r="BR67" s="739">
        <v>0</v>
      </c>
      <c r="BS67" s="739">
        <v>0</v>
      </c>
      <c r="BT67" s="740">
        <v>0</v>
      </c>
    </row>
    <row r="68" spans="2:72" ht="14.5">
      <c r="B68" s="737" t="s">
        <v>208</v>
      </c>
      <c r="C68" s="737" t="s">
        <v>748</v>
      </c>
      <c r="D68" s="737" t="s">
        <v>759</v>
      </c>
      <c r="E68" s="737" t="s">
        <v>745</v>
      </c>
      <c r="F68" s="737" t="s">
        <v>750</v>
      </c>
      <c r="G68" s="737" t="s">
        <v>747</v>
      </c>
      <c r="H68" s="737">
        <v>2013</v>
      </c>
      <c r="I68" s="636" t="s">
        <v>573</v>
      </c>
      <c r="J68" s="636" t="s">
        <v>589</v>
      </c>
      <c r="K68" s="50"/>
      <c r="L68" s="738"/>
      <c r="M68" s="739"/>
      <c r="N68" s="739">
        <v>79.462909999999994</v>
      </c>
      <c r="O68" s="739">
        <v>0</v>
      </c>
      <c r="P68" s="739">
        <v>0</v>
      </c>
      <c r="Q68" s="739">
        <v>0</v>
      </c>
      <c r="R68" s="739">
        <v>0</v>
      </c>
      <c r="S68" s="739">
        <v>0</v>
      </c>
      <c r="T68" s="739">
        <v>0</v>
      </c>
      <c r="U68" s="739">
        <v>0</v>
      </c>
      <c r="V68" s="739">
        <v>0</v>
      </c>
      <c r="W68" s="739">
        <v>0</v>
      </c>
      <c r="X68" s="739">
        <v>0</v>
      </c>
      <c r="Y68" s="739">
        <v>0</v>
      </c>
      <c r="Z68" s="739">
        <v>0</v>
      </c>
      <c r="AA68" s="739">
        <v>0</v>
      </c>
      <c r="AB68" s="739">
        <v>0</v>
      </c>
      <c r="AC68" s="739">
        <v>0</v>
      </c>
      <c r="AD68" s="739">
        <v>0</v>
      </c>
      <c r="AE68" s="739">
        <v>0</v>
      </c>
      <c r="AF68" s="739">
        <v>0</v>
      </c>
      <c r="AG68" s="739">
        <v>0</v>
      </c>
      <c r="AH68" s="739">
        <v>0</v>
      </c>
      <c r="AI68" s="739">
        <v>0</v>
      </c>
      <c r="AJ68" s="739">
        <v>0</v>
      </c>
      <c r="AK68" s="739">
        <v>0</v>
      </c>
      <c r="AL68" s="739">
        <v>0</v>
      </c>
      <c r="AM68" s="739">
        <v>0</v>
      </c>
      <c r="AN68" s="739">
        <v>0</v>
      </c>
      <c r="AO68" s="740">
        <v>0</v>
      </c>
      <c r="AP68" s="50"/>
      <c r="AQ68" s="738"/>
      <c r="AR68" s="739"/>
      <c r="AS68" s="739">
        <v>1061.0519999999999</v>
      </c>
      <c r="AT68" s="739">
        <v>0</v>
      </c>
      <c r="AU68" s="739">
        <v>0</v>
      </c>
      <c r="AV68" s="739">
        <v>0</v>
      </c>
      <c r="AW68" s="739">
        <v>0</v>
      </c>
      <c r="AX68" s="739">
        <v>0</v>
      </c>
      <c r="AY68" s="739">
        <v>0</v>
      </c>
      <c r="AZ68" s="739">
        <v>0</v>
      </c>
      <c r="BA68" s="739">
        <v>0</v>
      </c>
      <c r="BB68" s="739">
        <v>0</v>
      </c>
      <c r="BC68" s="739">
        <v>0</v>
      </c>
      <c r="BD68" s="739">
        <v>0</v>
      </c>
      <c r="BE68" s="739">
        <v>0</v>
      </c>
      <c r="BF68" s="739">
        <v>0</v>
      </c>
      <c r="BG68" s="739">
        <v>0</v>
      </c>
      <c r="BH68" s="739">
        <v>0</v>
      </c>
      <c r="BI68" s="739">
        <v>0</v>
      </c>
      <c r="BJ68" s="739">
        <v>0</v>
      </c>
      <c r="BK68" s="739">
        <v>0</v>
      </c>
      <c r="BL68" s="739">
        <v>0</v>
      </c>
      <c r="BM68" s="739">
        <v>0</v>
      </c>
      <c r="BN68" s="739">
        <v>0</v>
      </c>
      <c r="BO68" s="739">
        <v>0</v>
      </c>
      <c r="BP68" s="739">
        <v>0</v>
      </c>
      <c r="BQ68" s="739">
        <v>0</v>
      </c>
      <c r="BR68" s="739">
        <v>0</v>
      </c>
      <c r="BS68" s="739">
        <v>0</v>
      </c>
      <c r="BT68" s="740">
        <v>0</v>
      </c>
    </row>
    <row r="69" spans="2:72" ht="14.5">
      <c r="B69" s="737" t="s">
        <v>208</v>
      </c>
      <c r="C69" s="737" t="s">
        <v>748</v>
      </c>
      <c r="D69" s="737" t="s">
        <v>22</v>
      </c>
      <c r="E69" s="737" t="s">
        <v>745</v>
      </c>
      <c r="F69" s="737" t="s">
        <v>750</v>
      </c>
      <c r="G69" s="737" t="s">
        <v>746</v>
      </c>
      <c r="H69" s="737">
        <v>2013</v>
      </c>
      <c r="I69" s="636" t="s">
        <v>573</v>
      </c>
      <c r="J69" s="636" t="s">
        <v>589</v>
      </c>
      <c r="K69" s="50"/>
      <c r="L69" s="738"/>
      <c r="M69" s="739"/>
      <c r="N69" s="739">
        <v>131.40544271100001</v>
      </c>
      <c r="O69" s="739">
        <v>131.40544271100001</v>
      </c>
      <c r="P69" s="739">
        <v>131.40544271100001</v>
      </c>
      <c r="Q69" s="739">
        <v>131.40544271100001</v>
      </c>
      <c r="R69" s="739">
        <v>121.25499490999999</v>
      </c>
      <c r="S69" s="739">
        <v>119.823771686</v>
      </c>
      <c r="T69" s="739">
        <v>119.823771686</v>
      </c>
      <c r="U69" s="739">
        <v>119.784569175</v>
      </c>
      <c r="V69" s="739">
        <v>116.55814004</v>
      </c>
      <c r="W69" s="739">
        <v>106.12487224900001</v>
      </c>
      <c r="X69" s="739">
        <v>93.431646448999999</v>
      </c>
      <c r="Y69" s="739">
        <v>93.106600271999994</v>
      </c>
      <c r="Z69" s="739">
        <v>45.213157316</v>
      </c>
      <c r="AA69" s="739">
        <v>45.213157316</v>
      </c>
      <c r="AB69" s="739">
        <v>45.213157316</v>
      </c>
      <c r="AC69" s="739">
        <v>37.421463271</v>
      </c>
      <c r="AD69" s="739">
        <v>5.3693215429999999</v>
      </c>
      <c r="AE69" s="739">
        <v>5.3580594039999996</v>
      </c>
      <c r="AF69" s="739">
        <v>5.3580594039999996</v>
      </c>
      <c r="AG69" s="739">
        <v>5.3580594039999996</v>
      </c>
      <c r="AH69" s="739">
        <v>0</v>
      </c>
      <c r="AI69" s="739">
        <v>0</v>
      </c>
      <c r="AJ69" s="739">
        <v>0</v>
      </c>
      <c r="AK69" s="739">
        <v>0</v>
      </c>
      <c r="AL69" s="739">
        <v>0</v>
      </c>
      <c r="AM69" s="739">
        <v>0</v>
      </c>
      <c r="AN69" s="739">
        <v>0</v>
      </c>
      <c r="AO69" s="740">
        <v>0</v>
      </c>
      <c r="AP69" s="50"/>
      <c r="AQ69" s="738"/>
      <c r="AR69" s="739"/>
      <c r="AS69" s="739">
        <v>647284.91383379896</v>
      </c>
      <c r="AT69" s="739">
        <v>647284.91383379896</v>
      </c>
      <c r="AU69" s="739">
        <v>647284.91383379896</v>
      </c>
      <c r="AV69" s="739">
        <v>647284.91383379896</v>
      </c>
      <c r="AW69" s="739">
        <v>615669.13779226795</v>
      </c>
      <c r="AX69" s="739">
        <v>609425.359642228</v>
      </c>
      <c r="AY69" s="739">
        <v>609425.359642228</v>
      </c>
      <c r="AZ69" s="739">
        <v>608780.52312198002</v>
      </c>
      <c r="BA69" s="739">
        <v>598389.972668253</v>
      </c>
      <c r="BB69" s="739">
        <v>552874.35473022505</v>
      </c>
      <c r="BC69" s="739">
        <v>490821.14847669698</v>
      </c>
      <c r="BD69" s="739">
        <v>485474.51028502901</v>
      </c>
      <c r="BE69" s="739">
        <v>215005.29597031901</v>
      </c>
      <c r="BF69" s="739">
        <v>215005.29597031901</v>
      </c>
      <c r="BG69" s="739">
        <v>215005.29597031901</v>
      </c>
      <c r="BH69" s="739">
        <v>175811.73431652499</v>
      </c>
      <c r="BI69" s="739">
        <v>14788.460967061999</v>
      </c>
      <c r="BJ69" s="739">
        <v>14780.957210221</v>
      </c>
      <c r="BK69" s="739">
        <v>14780.957210221</v>
      </c>
      <c r="BL69" s="739">
        <v>14780.957210221</v>
      </c>
      <c r="BM69" s="739">
        <v>0</v>
      </c>
      <c r="BN69" s="739">
        <v>0</v>
      </c>
      <c r="BO69" s="739">
        <v>0</v>
      </c>
      <c r="BP69" s="739">
        <v>0</v>
      </c>
      <c r="BQ69" s="739">
        <v>0</v>
      </c>
      <c r="BR69" s="739">
        <v>0</v>
      </c>
      <c r="BS69" s="739">
        <v>0</v>
      </c>
      <c r="BT69" s="740">
        <v>0</v>
      </c>
    </row>
    <row r="70" spans="2:72" ht="14.5">
      <c r="B70" s="737" t="s">
        <v>208</v>
      </c>
      <c r="C70" s="737" t="s">
        <v>748</v>
      </c>
      <c r="D70" s="737" t="s">
        <v>760</v>
      </c>
      <c r="E70" s="737" t="s">
        <v>745</v>
      </c>
      <c r="F70" s="737" t="s">
        <v>750</v>
      </c>
      <c r="G70" s="737" t="s">
        <v>746</v>
      </c>
      <c r="H70" s="737">
        <v>2013</v>
      </c>
      <c r="I70" s="636" t="s">
        <v>573</v>
      </c>
      <c r="J70" s="636" t="s">
        <v>589</v>
      </c>
      <c r="K70" s="50"/>
      <c r="L70" s="738"/>
      <c r="M70" s="739"/>
      <c r="N70" s="739">
        <v>9.2488218839999998</v>
      </c>
      <c r="O70" s="739">
        <v>9.2488218839999998</v>
      </c>
      <c r="P70" s="739">
        <v>9.2488218839999998</v>
      </c>
      <c r="Q70" s="739">
        <v>8.2993376750000003</v>
      </c>
      <c r="R70" s="739">
        <v>3.898651353</v>
      </c>
      <c r="S70" s="739">
        <v>3.898651353</v>
      </c>
      <c r="T70" s="739">
        <v>3.898651353</v>
      </c>
      <c r="U70" s="739">
        <v>3.898651353</v>
      </c>
      <c r="V70" s="739">
        <v>3.898651353</v>
      </c>
      <c r="W70" s="739">
        <v>3.898651353</v>
      </c>
      <c r="X70" s="739">
        <v>3.898651353</v>
      </c>
      <c r="Y70" s="739">
        <v>3.898651353</v>
      </c>
      <c r="Z70" s="739">
        <v>0</v>
      </c>
      <c r="AA70" s="739">
        <v>0</v>
      </c>
      <c r="AB70" s="739">
        <v>0</v>
      </c>
      <c r="AC70" s="739">
        <v>0</v>
      </c>
      <c r="AD70" s="739">
        <v>0</v>
      </c>
      <c r="AE70" s="739">
        <v>0</v>
      </c>
      <c r="AF70" s="739">
        <v>0</v>
      </c>
      <c r="AG70" s="739">
        <v>0</v>
      </c>
      <c r="AH70" s="739">
        <v>0</v>
      </c>
      <c r="AI70" s="739">
        <v>0</v>
      </c>
      <c r="AJ70" s="739">
        <v>0</v>
      </c>
      <c r="AK70" s="739">
        <v>0</v>
      </c>
      <c r="AL70" s="739">
        <v>0</v>
      </c>
      <c r="AM70" s="739">
        <v>0</v>
      </c>
      <c r="AN70" s="739">
        <v>0</v>
      </c>
      <c r="AO70" s="740">
        <v>0</v>
      </c>
      <c r="AP70" s="50"/>
      <c r="AQ70" s="738"/>
      <c r="AR70" s="739"/>
      <c r="AS70" s="739">
        <v>31354.988014428</v>
      </c>
      <c r="AT70" s="739">
        <v>31354.988014428</v>
      </c>
      <c r="AU70" s="739">
        <v>31354.988014428</v>
      </c>
      <c r="AV70" s="739">
        <v>27001.969324494999</v>
      </c>
      <c r="AW70" s="739">
        <v>13238.84886783</v>
      </c>
      <c r="AX70" s="739">
        <v>13238.84886783</v>
      </c>
      <c r="AY70" s="739">
        <v>13238.84886783</v>
      </c>
      <c r="AZ70" s="739">
        <v>13238.84886783</v>
      </c>
      <c r="BA70" s="739">
        <v>13238.84886783</v>
      </c>
      <c r="BB70" s="739">
        <v>13238.84886783</v>
      </c>
      <c r="BC70" s="739">
        <v>13238.84886783</v>
      </c>
      <c r="BD70" s="739">
        <v>13238.84886783</v>
      </c>
      <c r="BE70" s="739">
        <v>0</v>
      </c>
      <c r="BF70" s="739">
        <v>0</v>
      </c>
      <c r="BG70" s="739">
        <v>0</v>
      </c>
      <c r="BH70" s="739">
        <v>0</v>
      </c>
      <c r="BI70" s="739">
        <v>0</v>
      </c>
      <c r="BJ70" s="739">
        <v>0</v>
      </c>
      <c r="BK70" s="739">
        <v>0</v>
      </c>
      <c r="BL70" s="739">
        <v>0</v>
      </c>
      <c r="BM70" s="739">
        <v>0</v>
      </c>
      <c r="BN70" s="739">
        <v>0</v>
      </c>
      <c r="BO70" s="739">
        <v>0</v>
      </c>
      <c r="BP70" s="739">
        <v>0</v>
      </c>
      <c r="BQ70" s="739">
        <v>0</v>
      </c>
      <c r="BR70" s="739">
        <v>0</v>
      </c>
      <c r="BS70" s="739">
        <v>0</v>
      </c>
      <c r="BT70" s="740">
        <v>0</v>
      </c>
    </row>
    <row r="71" spans="2:72" ht="14.5">
      <c r="B71" s="737" t="s">
        <v>208</v>
      </c>
      <c r="C71" s="737" t="s">
        <v>744</v>
      </c>
      <c r="D71" s="737" t="s">
        <v>761</v>
      </c>
      <c r="E71" s="737" t="s">
        <v>745</v>
      </c>
      <c r="F71" s="737" t="s">
        <v>29</v>
      </c>
      <c r="G71" s="737" t="s">
        <v>746</v>
      </c>
      <c r="H71" s="737">
        <v>2013</v>
      </c>
      <c r="I71" s="636" t="s">
        <v>573</v>
      </c>
      <c r="J71" s="636" t="s">
        <v>589</v>
      </c>
      <c r="K71" s="50"/>
      <c r="L71" s="738"/>
      <c r="M71" s="739"/>
      <c r="N71" s="739">
        <v>2.8281782359999998</v>
      </c>
      <c r="O71" s="739">
        <v>2.8281782359999998</v>
      </c>
      <c r="P71" s="739">
        <v>2.7260960860000001</v>
      </c>
      <c r="Q71" s="739">
        <v>2.3369408209999998</v>
      </c>
      <c r="R71" s="739">
        <v>2.3369408209999998</v>
      </c>
      <c r="S71" s="739">
        <v>2.3369408209999998</v>
      </c>
      <c r="T71" s="739">
        <v>2.3369408209999998</v>
      </c>
      <c r="U71" s="739">
        <v>2.3336707959999998</v>
      </c>
      <c r="V71" s="739">
        <v>1.745450602</v>
      </c>
      <c r="W71" s="739">
        <v>1.745450602</v>
      </c>
      <c r="X71" s="739">
        <v>1.402060941</v>
      </c>
      <c r="Y71" s="739">
        <v>1.402021704</v>
      </c>
      <c r="Z71" s="739">
        <v>1.402021704</v>
      </c>
      <c r="AA71" s="739">
        <v>1.39993156</v>
      </c>
      <c r="AB71" s="739">
        <v>1.39993156</v>
      </c>
      <c r="AC71" s="739">
        <v>1.398219332</v>
      </c>
      <c r="AD71" s="739">
        <v>1.3550125550000001</v>
      </c>
      <c r="AE71" s="739">
        <v>0.79536230500000005</v>
      </c>
      <c r="AF71" s="739">
        <v>0.79536230500000005</v>
      </c>
      <c r="AG71" s="739">
        <v>0.79536230500000005</v>
      </c>
      <c r="AH71" s="739">
        <v>0</v>
      </c>
      <c r="AI71" s="739">
        <v>0</v>
      </c>
      <c r="AJ71" s="739">
        <v>0</v>
      </c>
      <c r="AK71" s="739">
        <v>0</v>
      </c>
      <c r="AL71" s="739">
        <v>0</v>
      </c>
      <c r="AM71" s="739">
        <v>0</v>
      </c>
      <c r="AN71" s="739">
        <v>0</v>
      </c>
      <c r="AO71" s="740">
        <v>0</v>
      </c>
      <c r="AP71" s="50"/>
      <c r="AQ71" s="738"/>
      <c r="AR71" s="739"/>
      <c r="AS71" s="739">
        <v>42197.034117946998</v>
      </c>
      <c r="AT71" s="739">
        <v>42197.034117946998</v>
      </c>
      <c r="AU71" s="739">
        <v>40570.934375088997</v>
      </c>
      <c r="AV71" s="739">
        <v>34371.953674465003</v>
      </c>
      <c r="AW71" s="739">
        <v>34371.953674465003</v>
      </c>
      <c r="AX71" s="739">
        <v>34371.953674465003</v>
      </c>
      <c r="AY71" s="739">
        <v>34371.953674465003</v>
      </c>
      <c r="AZ71" s="739">
        <v>34343.308258609002</v>
      </c>
      <c r="BA71" s="739">
        <v>24973.357596730999</v>
      </c>
      <c r="BB71" s="739">
        <v>24973.357596730999</v>
      </c>
      <c r="BC71" s="739">
        <v>22706.928630642</v>
      </c>
      <c r="BD71" s="739">
        <v>22383.571979552999</v>
      </c>
      <c r="BE71" s="739">
        <v>22383.571979552999</v>
      </c>
      <c r="BF71" s="739">
        <v>22291.556507347999</v>
      </c>
      <c r="BG71" s="739">
        <v>22291.556507347999</v>
      </c>
      <c r="BH71" s="739">
        <v>22272.690183445</v>
      </c>
      <c r="BI71" s="739">
        <v>21584.435382447999</v>
      </c>
      <c r="BJ71" s="739">
        <v>12669.584661745001</v>
      </c>
      <c r="BK71" s="739">
        <v>12669.584661745001</v>
      </c>
      <c r="BL71" s="739">
        <v>12669.584661745001</v>
      </c>
      <c r="BM71" s="739">
        <v>0</v>
      </c>
      <c r="BN71" s="739">
        <v>0</v>
      </c>
      <c r="BO71" s="739">
        <v>0</v>
      </c>
      <c r="BP71" s="739">
        <v>0</v>
      </c>
      <c r="BQ71" s="739">
        <v>0</v>
      </c>
      <c r="BR71" s="739">
        <v>0</v>
      </c>
      <c r="BS71" s="739">
        <v>0</v>
      </c>
      <c r="BT71" s="740">
        <v>0</v>
      </c>
    </row>
    <row r="72" spans="2:72" ht="14.5">
      <c r="B72" s="737" t="s">
        <v>208</v>
      </c>
      <c r="C72" s="737" t="s">
        <v>744</v>
      </c>
      <c r="D72" s="737" t="s">
        <v>2</v>
      </c>
      <c r="E72" s="737" t="s">
        <v>745</v>
      </c>
      <c r="F72" s="737" t="s">
        <v>29</v>
      </c>
      <c r="G72" s="737" t="s">
        <v>746</v>
      </c>
      <c r="H72" s="737">
        <v>2013</v>
      </c>
      <c r="I72" s="636" t="s">
        <v>573</v>
      </c>
      <c r="J72" s="636" t="s">
        <v>589</v>
      </c>
      <c r="K72" s="50"/>
      <c r="L72" s="738"/>
      <c r="M72" s="739"/>
      <c r="N72" s="739">
        <v>4.3510760800000003</v>
      </c>
      <c r="O72" s="739">
        <v>4.3510760800000003</v>
      </c>
      <c r="P72" s="739">
        <v>4.3510760800000003</v>
      </c>
      <c r="Q72" s="739">
        <v>4.3510760800000003</v>
      </c>
      <c r="R72" s="739">
        <v>0</v>
      </c>
      <c r="S72" s="739">
        <v>0</v>
      </c>
      <c r="T72" s="739">
        <v>0</v>
      </c>
      <c r="U72" s="739">
        <v>0</v>
      </c>
      <c r="V72" s="739">
        <v>0</v>
      </c>
      <c r="W72" s="739">
        <v>0</v>
      </c>
      <c r="X72" s="739">
        <v>0</v>
      </c>
      <c r="Y72" s="739">
        <v>0</v>
      </c>
      <c r="Z72" s="739">
        <v>0</v>
      </c>
      <c r="AA72" s="739">
        <v>0</v>
      </c>
      <c r="AB72" s="739">
        <v>0</v>
      </c>
      <c r="AC72" s="739">
        <v>0</v>
      </c>
      <c r="AD72" s="739">
        <v>0</v>
      </c>
      <c r="AE72" s="739">
        <v>0</v>
      </c>
      <c r="AF72" s="739">
        <v>0</v>
      </c>
      <c r="AG72" s="739">
        <v>0</v>
      </c>
      <c r="AH72" s="739">
        <v>0</v>
      </c>
      <c r="AI72" s="739">
        <v>0</v>
      </c>
      <c r="AJ72" s="739">
        <v>0</v>
      </c>
      <c r="AK72" s="739">
        <v>0</v>
      </c>
      <c r="AL72" s="739">
        <v>0</v>
      </c>
      <c r="AM72" s="739">
        <v>0</v>
      </c>
      <c r="AN72" s="739">
        <v>0</v>
      </c>
      <c r="AO72" s="740">
        <v>0</v>
      </c>
      <c r="AP72" s="50"/>
      <c r="AQ72" s="738"/>
      <c r="AR72" s="739"/>
      <c r="AS72" s="739">
        <v>7758.2374369999998</v>
      </c>
      <c r="AT72" s="739">
        <v>7758.2374369999998</v>
      </c>
      <c r="AU72" s="739">
        <v>7758.2374369999998</v>
      </c>
      <c r="AV72" s="739">
        <v>7758.2374369999998</v>
      </c>
      <c r="AW72" s="739">
        <v>0</v>
      </c>
      <c r="AX72" s="739">
        <v>0</v>
      </c>
      <c r="AY72" s="739">
        <v>0</v>
      </c>
      <c r="AZ72" s="739">
        <v>0</v>
      </c>
      <c r="BA72" s="739">
        <v>0</v>
      </c>
      <c r="BB72" s="739">
        <v>0</v>
      </c>
      <c r="BC72" s="739">
        <v>0</v>
      </c>
      <c r="BD72" s="739">
        <v>0</v>
      </c>
      <c r="BE72" s="739">
        <v>0</v>
      </c>
      <c r="BF72" s="739">
        <v>0</v>
      </c>
      <c r="BG72" s="739">
        <v>0</v>
      </c>
      <c r="BH72" s="739">
        <v>0</v>
      </c>
      <c r="BI72" s="739">
        <v>0</v>
      </c>
      <c r="BJ72" s="739">
        <v>0</v>
      </c>
      <c r="BK72" s="739">
        <v>0</v>
      </c>
      <c r="BL72" s="739">
        <v>0</v>
      </c>
      <c r="BM72" s="739">
        <v>0</v>
      </c>
      <c r="BN72" s="739">
        <v>0</v>
      </c>
      <c r="BO72" s="739">
        <v>0</v>
      </c>
      <c r="BP72" s="739">
        <v>0</v>
      </c>
      <c r="BQ72" s="739">
        <v>0</v>
      </c>
      <c r="BR72" s="739">
        <v>0</v>
      </c>
      <c r="BS72" s="739">
        <v>0</v>
      </c>
      <c r="BT72" s="740">
        <v>0</v>
      </c>
    </row>
    <row r="73" spans="2:72" ht="14.5">
      <c r="B73" s="737" t="s">
        <v>208</v>
      </c>
      <c r="C73" s="737" t="s">
        <v>744</v>
      </c>
      <c r="D73" s="737" t="s">
        <v>1</v>
      </c>
      <c r="E73" s="737" t="s">
        <v>745</v>
      </c>
      <c r="F73" s="737" t="s">
        <v>29</v>
      </c>
      <c r="G73" s="737" t="s">
        <v>746</v>
      </c>
      <c r="H73" s="737">
        <v>2013</v>
      </c>
      <c r="I73" s="636" t="s">
        <v>573</v>
      </c>
      <c r="J73" s="636" t="s">
        <v>589</v>
      </c>
      <c r="K73" s="50"/>
      <c r="L73" s="738"/>
      <c r="M73" s="739"/>
      <c r="N73" s="739">
        <v>3.725678238</v>
      </c>
      <c r="O73" s="739">
        <v>3.725678238</v>
      </c>
      <c r="P73" s="739">
        <v>3.725678238</v>
      </c>
      <c r="Q73" s="739">
        <v>3.6208942080000002</v>
      </c>
      <c r="R73" s="739">
        <v>2.0026465249999998</v>
      </c>
      <c r="S73" s="739">
        <v>0</v>
      </c>
      <c r="T73" s="739">
        <v>0</v>
      </c>
      <c r="U73" s="739">
        <v>0</v>
      </c>
      <c r="V73" s="739">
        <v>0</v>
      </c>
      <c r="W73" s="739">
        <v>0</v>
      </c>
      <c r="X73" s="739">
        <v>0</v>
      </c>
      <c r="Y73" s="739">
        <v>0</v>
      </c>
      <c r="Z73" s="739">
        <v>0</v>
      </c>
      <c r="AA73" s="739">
        <v>0</v>
      </c>
      <c r="AB73" s="739">
        <v>0</v>
      </c>
      <c r="AC73" s="739">
        <v>0</v>
      </c>
      <c r="AD73" s="739">
        <v>0</v>
      </c>
      <c r="AE73" s="739">
        <v>0</v>
      </c>
      <c r="AF73" s="739">
        <v>0</v>
      </c>
      <c r="AG73" s="739">
        <v>0</v>
      </c>
      <c r="AH73" s="739">
        <v>0</v>
      </c>
      <c r="AI73" s="739">
        <v>0</v>
      </c>
      <c r="AJ73" s="739">
        <v>0</v>
      </c>
      <c r="AK73" s="739">
        <v>0</v>
      </c>
      <c r="AL73" s="739">
        <v>0</v>
      </c>
      <c r="AM73" s="739">
        <v>0</v>
      </c>
      <c r="AN73" s="739">
        <v>0</v>
      </c>
      <c r="AO73" s="740">
        <v>0</v>
      </c>
      <c r="AP73" s="50"/>
      <c r="AQ73" s="738"/>
      <c r="AR73" s="739"/>
      <c r="AS73" s="739">
        <v>25445.915649732</v>
      </c>
      <c r="AT73" s="739">
        <v>25445.915649732</v>
      </c>
      <c r="AU73" s="739">
        <v>25445.915649732</v>
      </c>
      <c r="AV73" s="739">
        <v>25343.371131398999</v>
      </c>
      <c r="AW73" s="739">
        <v>13626.337830896</v>
      </c>
      <c r="AX73" s="739">
        <v>0</v>
      </c>
      <c r="AY73" s="739">
        <v>0</v>
      </c>
      <c r="AZ73" s="739">
        <v>0</v>
      </c>
      <c r="BA73" s="739">
        <v>0</v>
      </c>
      <c r="BB73" s="739">
        <v>0</v>
      </c>
      <c r="BC73" s="739">
        <v>0</v>
      </c>
      <c r="BD73" s="739">
        <v>0</v>
      </c>
      <c r="BE73" s="739">
        <v>0</v>
      </c>
      <c r="BF73" s="739">
        <v>0</v>
      </c>
      <c r="BG73" s="739">
        <v>0</v>
      </c>
      <c r="BH73" s="739">
        <v>0</v>
      </c>
      <c r="BI73" s="739">
        <v>0</v>
      </c>
      <c r="BJ73" s="739">
        <v>0</v>
      </c>
      <c r="BK73" s="739">
        <v>0</v>
      </c>
      <c r="BL73" s="739">
        <v>0</v>
      </c>
      <c r="BM73" s="739">
        <v>0</v>
      </c>
      <c r="BN73" s="739">
        <v>0</v>
      </c>
      <c r="BO73" s="739">
        <v>0</v>
      </c>
      <c r="BP73" s="739">
        <v>0</v>
      </c>
      <c r="BQ73" s="739">
        <v>0</v>
      </c>
      <c r="BR73" s="739">
        <v>0</v>
      </c>
      <c r="BS73" s="739">
        <v>0</v>
      </c>
      <c r="BT73" s="740">
        <v>0</v>
      </c>
    </row>
    <row r="74" spans="2:72" ht="14.5">
      <c r="B74" s="737" t="s">
        <v>208</v>
      </c>
      <c r="C74" s="737" t="s">
        <v>744</v>
      </c>
      <c r="D74" s="737" t="s">
        <v>762</v>
      </c>
      <c r="E74" s="737" t="s">
        <v>745</v>
      </c>
      <c r="F74" s="737" t="s">
        <v>29</v>
      </c>
      <c r="G74" s="737" t="s">
        <v>746</v>
      </c>
      <c r="H74" s="737">
        <v>2013</v>
      </c>
      <c r="I74" s="636" t="s">
        <v>573</v>
      </c>
      <c r="J74" s="636" t="s">
        <v>589</v>
      </c>
      <c r="K74" s="50"/>
      <c r="L74" s="738"/>
      <c r="M74" s="739"/>
      <c r="N74" s="739">
        <v>6.4802510209999999</v>
      </c>
      <c r="O74" s="739">
        <v>6.4802510209999999</v>
      </c>
      <c r="P74" s="739">
        <v>6.1244882860000001</v>
      </c>
      <c r="Q74" s="739">
        <v>4.9103603739999997</v>
      </c>
      <c r="R74" s="739">
        <v>4.9103603739999997</v>
      </c>
      <c r="S74" s="739">
        <v>4.9103603739999997</v>
      </c>
      <c r="T74" s="739">
        <v>4.9103603739999997</v>
      </c>
      <c r="U74" s="739">
        <v>4.9010716079999996</v>
      </c>
      <c r="V74" s="739">
        <v>4.2124230599999999</v>
      </c>
      <c r="W74" s="739">
        <v>4.2124230599999999</v>
      </c>
      <c r="X74" s="739">
        <v>3.0566557080000001</v>
      </c>
      <c r="Y74" s="739">
        <v>1.974378229</v>
      </c>
      <c r="Z74" s="739">
        <v>1.974378229</v>
      </c>
      <c r="AA74" s="739">
        <v>1.935484376</v>
      </c>
      <c r="AB74" s="739">
        <v>1.935484376</v>
      </c>
      <c r="AC74" s="739">
        <v>1.915530771</v>
      </c>
      <c r="AD74" s="739">
        <v>1.6534249080000001</v>
      </c>
      <c r="AE74" s="739">
        <v>0.97052308099999995</v>
      </c>
      <c r="AF74" s="739">
        <v>0.97052308099999995</v>
      </c>
      <c r="AG74" s="739">
        <v>0.97052308099999995</v>
      </c>
      <c r="AH74" s="739">
        <v>0</v>
      </c>
      <c r="AI74" s="739">
        <v>0</v>
      </c>
      <c r="AJ74" s="739">
        <v>0</v>
      </c>
      <c r="AK74" s="739">
        <v>0</v>
      </c>
      <c r="AL74" s="739">
        <v>0</v>
      </c>
      <c r="AM74" s="739">
        <v>0</v>
      </c>
      <c r="AN74" s="739">
        <v>0</v>
      </c>
      <c r="AO74" s="740">
        <v>0</v>
      </c>
      <c r="AP74" s="50"/>
      <c r="AQ74" s="738"/>
      <c r="AR74" s="739"/>
      <c r="AS74" s="739">
        <v>94055.332330596997</v>
      </c>
      <c r="AT74" s="739">
        <v>94055.332330596997</v>
      </c>
      <c r="AU74" s="739">
        <v>88388.272091346997</v>
      </c>
      <c r="AV74" s="739">
        <v>69048.033968322998</v>
      </c>
      <c r="AW74" s="739">
        <v>69048.033968322998</v>
      </c>
      <c r="AX74" s="739">
        <v>69048.033968322998</v>
      </c>
      <c r="AY74" s="739">
        <v>69048.033968322998</v>
      </c>
      <c r="AZ74" s="739">
        <v>68966.664381255003</v>
      </c>
      <c r="BA74" s="739">
        <v>57996.957840288</v>
      </c>
      <c r="BB74" s="739">
        <v>57996.957840288</v>
      </c>
      <c r="BC74" s="739">
        <v>50466.709247567</v>
      </c>
      <c r="BD74" s="739">
        <v>32445.216633507996</v>
      </c>
      <c r="BE74" s="739">
        <v>32445.216633507996</v>
      </c>
      <c r="BF74" s="739">
        <v>30732.972711482002</v>
      </c>
      <c r="BG74" s="739">
        <v>30732.972711482002</v>
      </c>
      <c r="BH74" s="739">
        <v>30513.112217894999</v>
      </c>
      <c r="BI74" s="739">
        <v>26337.942737653</v>
      </c>
      <c r="BJ74" s="739">
        <v>15459.777582651999</v>
      </c>
      <c r="BK74" s="739">
        <v>15459.777582651999</v>
      </c>
      <c r="BL74" s="739">
        <v>15459.777582651999</v>
      </c>
      <c r="BM74" s="739">
        <v>0</v>
      </c>
      <c r="BN74" s="739">
        <v>0</v>
      </c>
      <c r="BO74" s="739">
        <v>0</v>
      </c>
      <c r="BP74" s="739">
        <v>0</v>
      </c>
      <c r="BQ74" s="739">
        <v>0</v>
      </c>
      <c r="BR74" s="739">
        <v>0</v>
      </c>
      <c r="BS74" s="739">
        <v>0</v>
      </c>
      <c r="BT74" s="740">
        <v>0</v>
      </c>
    </row>
    <row r="75" spans="2:72" ht="14.5">
      <c r="B75" s="737" t="s">
        <v>208</v>
      </c>
      <c r="C75" s="737" t="s">
        <v>744</v>
      </c>
      <c r="D75" s="737" t="s">
        <v>14</v>
      </c>
      <c r="E75" s="737" t="s">
        <v>745</v>
      </c>
      <c r="F75" s="737" t="s">
        <v>29</v>
      </c>
      <c r="G75" s="737" t="s">
        <v>746</v>
      </c>
      <c r="H75" s="737">
        <v>2013</v>
      </c>
      <c r="I75" s="636" t="s">
        <v>573</v>
      </c>
      <c r="J75" s="636" t="s">
        <v>589</v>
      </c>
      <c r="K75" s="50"/>
      <c r="L75" s="738"/>
      <c r="M75" s="739"/>
      <c r="N75" s="739">
        <v>11.506904471</v>
      </c>
      <c r="O75" s="739">
        <v>11.349332494</v>
      </c>
      <c r="P75" s="739">
        <v>11.095516707</v>
      </c>
      <c r="Q75" s="739">
        <v>10.587899781999999</v>
      </c>
      <c r="R75" s="739">
        <v>10.321538649000001</v>
      </c>
      <c r="S75" s="739">
        <v>10.15496549</v>
      </c>
      <c r="T75" s="739">
        <v>10.15496549</v>
      </c>
      <c r="U75" s="739">
        <v>10.15496549</v>
      </c>
      <c r="V75" s="739">
        <v>7.9097577299999999</v>
      </c>
      <c r="W75" s="739">
        <v>7.6620439559999998</v>
      </c>
      <c r="X75" s="739">
        <v>6.4317174939999999</v>
      </c>
      <c r="Y75" s="739">
        <v>6.4317174939999999</v>
      </c>
      <c r="Z75" s="739">
        <v>5.1868696889999999</v>
      </c>
      <c r="AA75" s="739">
        <v>5.1868696889999999</v>
      </c>
      <c r="AB75" s="739">
        <v>2.0052695809999999</v>
      </c>
      <c r="AC75" s="739">
        <v>1.8840997960000001</v>
      </c>
      <c r="AD75" s="739">
        <v>1.8840997960000001</v>
      </c>
      <c r="AE75" s="739">
        <v>1.8840997960000001</v>
      </c>
      <c r="AF75" s="739">
        <v>1.8840997960000001</v>
      </c>
      <c r="AG75" s="739">
        <v>1.8840997960000001</v>
      </c>
      <c r="AH75" s="739">
        <v>1.8840997960000001</v>
      </c>
      <c r="AI75" s="739">
        <v>0</v>
      </c>
      <c r="AJ75" s="739">
        <v>0</v>
      </c>
      <c r="AK75" s="739">
        <v>0</v>
      </c>
      <c r="AL75" s="739">
        <v>0</v>
      </c>
      <c r="AM75" s="739">
        <v>0</v>
      </c>
      <c r="AN75" s="739">
        <v>0</v>
      </c>
      <c r="AO75" s="740">
        <v>0</v>
      </c>
      <c r="AP75" s="50"/>
      <c r="AQ75" s="738"/>
      <c r="AR75" s="739"/>
      <c r="AS75" s="739">
        <v>127117.742881775</v>
      </c>
      <c r="AT75" s="739">
        <v>124084.37903595</v>
      </c>
      <c r="AU75" s="739">
        <v>119198.259010315</v>
      </c>
      <c r="AV75" s="739">
        <v>109426.30175971999</v>
      </c>
      <c r="AW75" s="739">
        <v>104298.677518845</v>
      </c>
      <c r="AX75" s="739">
        <v>101092.03486061101</v>
      </c>
      <c r="AY75" s="739">
        <v>101092.03486061101</v>
      </c>
      <c r="AZ75" s="739">
        <v>101092.03486061101</v>
      </c>
      <c r="BA75" s="739">
        <v>57870.315299987997</v>
      </c>
      <c r="BB75" s="739">
        <v>57638.965858459</v>
      </c>
      <c r="BC75" s="739">
        <v>43939.124458313003</v>
      </c>
      <c r="BD75" s="739">
        <v>43939.124458313003</v>
      </c>
      <c r="BE75" s="739">
        <v>39800.434577941996</v>
      </c>
      <c r="BF75" s="739">
        <v>39800.434577941996</v>
      </c>
      <c r="BG75" s="739">
        <v>14889.486763000001</v>
      </c>
      <c r="BH75" s="739">
        <v>13890.284912109</v>
      </c>
      <c r="BI75" s="739">
        <v>13890.284912109</v>
      </c>
      <c r="BJ75" s="739">
        <v>13890.284912109</v>
      </c>
      <c r="BK75" s="739">
        <v>13890.284912109</v>
      </c>
      <c r="BL75" s="739">
        <v>13890.284912109</v>
      </c>
      <c r="BM75" s="739">
        <v>13890.284912109</v>
      </c>
      <c r="BN75" s="739">
        <v>0</v>
      </c>
      <c r="BO75" s="739">
        <v>0</v>
      </c>
      <c r="BP75" s="739">
        <v>0</v>
      </c>
      <c r="BQ75" s="739">
        <v>0</v>
      </c>
      <c r="BR75" s="739">
        <v>0</v>
      </c>
      <c r="BS75" s="739">
        <v>0</v>
      </c>
      <c r="BT75" s="740">
        <v>0</v>
      </c>
    </row>
    <row r="76" spans="2:72" ht="14.5">
      <c r="B76" s="737" t="s">
        <v>208</v>
      </c>
      <c r="C76" s="737" t="s">
        <v>744</v>
      </c>
      <c r="D76" s="737" t="s">
        <v>758</v>
      </c>
      <c r="E76" s="737" t="s">
        <v>745</v>
      </c>
      <c r="F76" s="737" t="s">
        <v>29</v>
      </c>
      <c r="G76" s="737" t="s">
        <v>746</v>
      </c>
      <c r="H76" s="737">
        <v>2013</v>
      </c>
      <c r="I76" s="636" t="s">
        <v>573</v>
      </c>
      <c r="J76" s="636" t="s">
        <v>589</v>
      </c>
      <c r="K76" s="50"/>
      <c r="L76" s="738"/>
      <c r="M76" s="739"/>
      <c r="N76" s="739">
        <v>97.219324766</v>
      </c>
      <c r="O76" s="739">
        <v>97.219324766</v>
      </c>
      <c r="P76" s="739">
        <v>97.219324766</v>
      </c>
      <c r="Q76" s="739">
        <v>97.219324766</v>
      </c>
      <c r="R76" s="739">
        <v>97.219324766</v>
      </c>
      <c r="S76" s="739">
        <v>97.219324766</v>
      </c>
      <c r="T76" s="739">
        <v>97.219324766</v>
      </c>
      <c r="U76" s="739">
        <v>97.219324766</v>
      </c>
      <c r="V76" s="739">
        <v>97.219324766</v>
      </c>
      <c r="W76" s="739">
        <v>97.219324766</v>
      </c>
      <c r="X76" s="739">
        <v>97.219324766</v>
      </c>
      <c r="Y76" s="739">
        <v>97.219324766</v>
      </c>
      <c r="Z76" s="739">
        <v>97.219324766</v>
      </c>
      <c r="AA76" s="739">
        <v>97.219324766</v>
      </c>
      <c r="AB76" s="739">
        <v>97.219324766</v>
      </c>
      <c r="AC76" s="739">
        <v>97.219324766</v>
      </c>
      <c r="AD76" s="739">
        <v>97.219324766</v>
      </c>
      <c r="AE76" s="739">
        <v>97.219324766</v>
      </c>
      <c r="AF76" s="739">
        <v>74.411164822000003</v>
      </c>
      <c r="AG76" s="739">
        <v>0</v>
      </c>
      <c r="AH76" s="739">
        <v>0</v>
      </c>
      <c r="AI76" s="739">
        <v>0</v>
      </c>
      <c r="AJ76" s="739">
        <v>0</v>
      </c>
      <c r="AK76" s="739">
        <v>0</v>
      </c>
      <c r="AL76" s="739">
        <v>0</v>
      </c>
      <c r="AM76" s="739">
        <v>0</v>
      </c>
      <c r="AN76" s="739">
        <v>0</v>
      </c>
      <c r="AO76" s="740">
        <v>0</v>
      </c>
      <c r="AP76" s="50"/>
      <c r="AQ76" s="738"/>
      <c r="AR76" s="739"/>
      <c r="AS76" s="739">
        <v>164882.60492727099</v>
      </c>
      <c r="AT76" s="739">
        <v>164882.60492727099</v>
      </c>
      <c r="AU76" s="739">
        <v>164882.60492727099</v>
      </c>
      <c r="AV76" s="739">
        <v>164882.60492727099</v>
      </c>
      <c r="AW76" s="739">
        <v>164882.60492727099</v>
      </c>
      <c r="AX76" s="739">
        <v>164882.60492727099</v>
      </c>
      <c r="AY76" s="739">
        <v>164882.60492727099</v>
      </c>
      <c r="AZ76" s="739">
        <v>164882.60492727099</v>
      </c>
      <c r="BA76" s="739">
        <v>164882.60492727099</v>
      </c>
      <c r="BB76" s="739">
        <v>164882.60492727099</v>
      </c>
      <c r="BC76" s="739">
        <v>164882.60492727099</v>
      </c>
      <c r="BD76" s="739">
        <v>164882.60492727099</v>
      </c>
      <c r="BE76" s="739">
        <v>164882.60492727099</v>
      </c>
      <c r="BF76" s="739">
        <v>164882.60492727099</v>
      </c>
      <c r="BG76" s="739">
        <v>164882.60492727099</v>
      </c>
      <c r="BH76" s="739">
        <v>164882.60492727099</v>
      </c>
      <c r="BI76" s="739">
        <v>164882.60492727099</v>
      </c>
      <c r="BJ76" s="739">
        <v>164882.60492727099</v>
      </c>
      <c r="BK76" s="739">
        <v>144486.30707791299</v>
      </c>
      <c r="BL76" s="739">
        <v>0</v>
      </c>
      <c r="BM76" s="739">
        <v>0</v>
      </c>
      <c r="BN76" s="739">
        <v>0</v>
      </c>
      <c r="BO76" s="739">
        <v>0</v>
      </c>
      <c r="BP76" s="739">
        <v>0</v>
      </c>
      <c r="BQ76" s="739">
        <v>0</v>
      </c>
      <c r="BR76" s="739">
        <v>0</v>
      </c>
      <c r="BS76" s="739">
        <v>0</v>
      </c>
      <c r="BT76" s="740">
        <v>0</v>
      </c>
    </row>
    <row r="77" spans="2:72" ht="14.5">
      <c r="B77" s="737" t="s">
        <v>208</v>
      </c>
      <c r="C77" s="737" t="s">
        <v>751</v>
      </c>
      <c r="D77" s="737" t="s">
        <v>759</v>
      </c>
      <c r="E77" s="737" t="s">
        <v>745</v>
      </c>
      <c r="F77" s="737" t="s">
        <v>751</v>
      </c>
      <c r="G77" s="737" t="s">
        <v>747</v>
      </c>
      <c r="H77" s="737">
        <v>2013</v>
      </c>
      <c r="I77" s="636" t="s">
        <v>573</v>
      </c>
      <c r="J77" s="636" t="s">
        <v>589</v>
      </c>
      <c r="K77" s="50"/>
      <c r="L77" s="738"/>
      <c r="M77" s="739"/>
      <c r="N77" s="739">
        <v>824.34119999999996</v>
      </c>
      <c r="O77" s="739">
        <v>0</v>
      </c>
      <c r="P77" s="739">
        <v>0</v>
      </c>
      <c r="Q77" s="739">
        <v>0</v>
      </c>
      <c r="R77" s="739">
        <v>0</v>
      </c>
      <c r="S77" s="739">
        <v>0</v>
      </c>
      <c r="T77" s="739">
        <v>0</v>
      </c>
      <c r="U77" s="739">
        <v>0</v>
      </c>
      <c r="V77" s="739">
        <v>0</v>
      </c>
      <c r="W77" s="739">
        <v>0</v>
      </c>
      <c r="X77" s="739">
        <v>0</v>
      </c>
      <c r="Y77" s="739">
        <v>0</v>
      </c>
      <c r="Z77" s="739">
        <v>0</v>
      </c>
      <c r="AA77" s="739">
        <v>0</v>
      </c>
      <c r="AB77" s="739">
        <v>0</v>
      </c>
      <c r="AC77" s="739">
        <v>0</v>
      </c>
      <c r="AD77" s="739">
        <v>0</v>
      </c>
      <c r="AE77" s="739">
        <v>0</v>
      </c>
      <c r="AF77" s="739">
        <v>0</v>
      </c>
      <c r="AG77" s="739">
        <v>0</v>
      </c>
      <c r="AH77" s="739">
        <v>0</v>
      </c>
      <c r="AI77" s="739">
        <v>0</v>
      </c>
      <c r="AJ77" s="739">
        <v>0</v>
      </c>
      <c r="AK77" s="739">
        <v>0</v>
      </c>
      <c r="AL77" s="739">
        <v>0</v>
      </c>
      <c r="AM77" s="739">
        <v>0</v>
      </c>
      <c r="AN77" s="739">
        <v>0</v>
      </c>
      <c r="AO77" s="740">
        <v>0</v>
      </c>
      <c r="AP77" s="50"/>
      <c r="AQ77" s="738"/>
      <c r="AR77" s="739"/>
      <c r="AS77" s="739">
        <v>18770.75</v>
      </c>
      <c r="AT77" s="739">
        <v>0</v>
      </c>
      <c r="AU77" s="739">
        <v>0</v>
      </c>
      <c r="AV77" s="739">
        <v>0</v>
      </c>
      <c r="AW77" s="739">
        <v>0</v>
      </c>
      <c r="AX77" s="739">
        <v>0</v>
      </c>
      <c r="AY77" s="739">
        <v>0</v>
      </c>
      <c r="AZ77" s="739">
        <v>0</v>
      </c>
      <c r="BA77" s="739">
        <v>0</v>
      </c>
      <c r="BB77" s="739">
        <v>0</v>
      </c>
      <c r="BC77" s="739">
        <v>0</v>
      </c>
      <c r="BD77" s="739">
        <v>0</v>
      </c>
      <c r="BE77" s="739">
        <v>0</v>
      </c>
      <c r="BF77" s="739">
        <v>0</v>
      </c>
      <c r="BG77" s="739">
        <v>0</v>
      </c>
      <c r="BH77" s="739">
        <v>0</v>
      </c>
      <c r="BI77" s="739">
        <v>0</v>
      </c>
      <c r="BJ77" s="739">
        <v>0</v>
      </c>
      <c r="BK77" s="739">
        <v>0</v>
      </c>
      <c r="BL77" s="739">
        <v>0</v>
      </c>
      <c r="BM77" s="739">
        <v>0</v>
      </c>
      <c r="BN77" s="739">
        <v>0</v>
      </c>
      <c r="BO77" s="739">
        <v>0</v>
      </c>
      <c r="BP77" s="739">
        <v>0</v>
      </c>
      <c r="BQ77" s="739">
        <v>0</v>
      </c>
      <c r="BR77" s="739">
        <v>0</v>
      </c>
      <c r="BS77" s="739">
        <v>0</v>
      </c>
      <c r="BT77" s="740">
        <v>0</v>
      </c>
    </row>
    <row r="78" spans="2:72" ht="14.5">
      <c r="B78" s="737" t="s">
        <v>208</v>
      </c>
      <c r="C78" s="737" t="s">
        <v>744</v>
      </c>
      <c r="D78" s="737" t="s">
        <v>1</v>
      </c>
      <c r="E78" s="737" t="s">
        <v>745</v>
      </c>
      <c r="F78" s="737" t="s">
        <v>29</v>
      </c>
      <c r="G78" s="737" t="s">
        <v>746</v>
      </c>
      <c r="H78" s="737">
        <v>2013</v>
      </c>
      <c r="I78" s="636" t="s">
        <v>573</v>
      </c>
      <c r="J78" s="636" t="s">
        <v>589</v>
      </c>
      <c r="K78" s="50"/>
      <c r="L78" s="738"/>
      <c r="M78" s="739"/>
      <c r="N78" s="739">
        <v>0.004784217006579254</v>
      </c>
      <c r="O78" s="739">
        <v>0.004784217006579254</v>
      </c>
      <c r="P78" s="739">
        <v>0.004784217006579254</v>
      </c>
      <c r="Q78" s="739">
        <v>0.004784217006579254</v>
      </c>
      <c r="R78" s="739">
        <v>0.0026579366894363488</v>
      </c>
      <c r="S78" s="739">
        <v>0</v>
      </c>
      <c r="T78" s="739">
        <v>0</v>
      </c>
      <c r="U78" s="739">
        <v>0</v>
      </c>
      <c r="V78" s="739">
        <v>0</v>
      </c>
      <c r="W78" s="739">
        <v>0</v>
      </c>
      <c r="X78" s="739">
        <v>0</v>
      </c>
      <c r="Y78" s="739">
        <v>0</v>
      </c>
      <c r="Z78" s="739">
        <v>0</v>
      </c>
      <c r="AA78" s="739">
        <v>0</v>
      </c>
      <c r="AB78" s="739">
        <v>0</v>
      </c>
      <c r="AC78" s="739">
        <v>0</v>
      </c>
      <c r="AD78" s="739">
        <v>0</v>
      </c>
      <c r="AE78" s="739">
        <v>0</v>
      </c>
      <c r="AF78" s="739">
        <v>0</v>
      </c>
      <c r="AG78" s="739">
        <v>0</v>
      </c>
      <c r="AH78" s="739">
        <v>0</v>
      </c>
      <c r="AI78" s="739">
        <v>0</v>
      </c>
      <c r="AJ78" s="739">
        <v>0</v>
      </c>
      <c r="AK78" s="739">
        <v>0</v>
      </c>
      <c r="AL78" s="739">
        <v>0</v>
      </c>
      <c r="AM78" s="739">
        <v>0</v>
      </c>
      <c r="AN78" s="739">
        <v>0</v>
      </c>
      <c r="AO78" s="740">
        <v>0</v>
      </c>
      <c r="AP78" s="50"/>
      <c r="AQ78" s="738"/>
      <c r="AR78" s="739"/>
      <c r="AS78" s="739">
        <v>33.480518780572055</v>
      </c>
      <c r="AT78" s="739">
        <v>33.480518780572055</v>
      </c>
      <c r="AU78" s="739">
        <v>33.480518780572055</v>
      </c>
      <c r="AV78" s="739">
        <v>33.480518780572055</v>
      </c>
      <c r="AW78" s="739">
        <v>18.085040363540298</v>
      </c>
      <c r="AX78" s="739">
        <v>0</v>
      </c>
      <c r="AY78" s="739">
        <v>0</v>
      </c>
      <c r="AZ78" s="739">
        <v>0</v>
      </c>
      <c r="BA78" s="739">
        <v>0</v>
      </c>
      <c r="BB78" s="739">
        <v>0</v>
      </c>
      <c r="BC78" s="739">
        <v>0</v>
      </c>
      <c r="BD78" s="739">
        <v>0</v>
      </c>
      <c r="BE78" s="739">
        <v>0</v>
      </c>
      <c r="BF78" s="739">
        <v>0</v>
      </c>
      <c r="BG78" s="739">
        <v>0</v>
      </c>
      <c r="BH78" s="739">
        <v>0</v>
      </c>
      <c r="BI78" s="739">
        <v>0</v>
      </c>
      <c r="BJ78" s="739">
        <v>0</v>
      </c>
      <c r="BK78" s="739">
        <v>0</v>
      </c>
      <c r="BL78" s="739">
        <v>0</v>
      </c>
      <c r="BM78" s="739">
        <v>0</v>
      </c>
      <c r="BN78" s="739">
        <v>0</v>
      </c>
      <c r="BO78" s="739">
        <v>0</v>
      </c>
      <c r="BP78" s="739">
        <v>0</v>
      </c>
      <c r="BQ78" s="739">
        <v>0</v>
      </c>
      <c r="BR78" s="739">
        <v>0</v>
      </c>
      <c r="BS78" s="739">
        <v>0</v>
      </c>
      <c r="BT78" s="740">
        <v>0</v>
      </c>
    </row>
    <row r="79" spans="2:73" ht="15.5">
      <c r="B79" s="737" t="s">
        <v>208</v>
      </c>
      <c r="C79" s="737" t="s">
        <v>748</v>
      </c>
      <c r="D79" s="737" t="s">
        <v>20</v>
      </c>
      <c r="E79" s="737" t="s">
        <v>745</v>
      </c>
      <c r="F79" s="737" t="s">
        <v>755</v>
      </c>
      <c r="G79" s="737" t="s">
        <v>746</v>
      </c>
      <c r="H79" s="737">
        <v>2013</v>
      </c>
      <c r="I79" s="636" t="s">
        <v>574</v>
      </c>
      <c r="J79" s="636" t="s">
        <v>582</v>
      </c>
      <c r="K79" s="50"/>
      <c r="L79" s="738"/>
      <c r="M79" s="739"/>
      <c r="N79" s="739">
        <v>167.55191139999999</v>
      </c>
      <c r="O79" s="739">
        <v>167.55191139999999</v>
      </c>
      <c r="P79" s="739">
        <v>167.55191139999999</v>
      </c>
      <c r="Q79" s="739">
        <v>167.55191139999999</v>
      </c>
      <c r="R79" s="739">
        <v>0</v>
      </c>
      <c r="S79" s="739">
        <v>0</v>
      </c>
      <c r="T79" s="739">
        <v>0</v>
      </c>
      <c r="U79" s="739">
        <v>0</v>
      </c>
      <c r="V79" s="739">
        <v>0</v>
      </c>
      <c r="W79" s="739">
        <v>0</v>
      </c>
      <c r="X79" s="739">
        <v>0</v>
      </c>
      <c r="Y79" s="739">
        <v>0</v>
      </c>
      <c r="Z79" s="739">
        <v>0</v>
      </c>
      <c r="AA79" s="739">
        <v>0</v>
      </c>
      <c r="AB79" s="739">
        <v>0</v>
      </c>
      <c r="AC79" s="739">
        <v>0</v>
      </c>
      <c r="AD79" s="739">
        <v>0</v>
      </c>
      <c r="AE79" s="739">
        <v>0</v>
      </c>
      <c r="AF79" s="739">
        <v>0</v>
      </c>
      <c r="AG79" s="739">
        <v>0</v>
      </c>
      <c r="AH79" s="739">
        <v>0</v>
      </c>
      <c r="AI79" s="739">
        <v>0</v>
      </c>
      <c r="AJ79" s="739">
        <v>0</v>
      </c>
      <c r="AK79" s="739">
        <v>0</v>
      </c>
      <c r="AL79" s="739">
        <v>0</v>
      </c>
      <c r="AM79" s="739">
        <v>0</v>
      </c>
      <c r="AN79" s="739">
        <v>0</v>
      </c>
      <c r="AO79" s="740">
        <v>0</v>
      </c>
      <c r="AP79" s="50"/>
      <c r="AQ79" s="738"/>
      <c r="AR79" s="739"/>
      <c r="AS79" s="739">
        <v>921175.15489999996</v>
      </c>
      <c r="AT79" s="739">
        <v>921175.15489999996</v>
      </c>
      <c r="AU79" s="739">
        <v>921175.15489999996</v>
      </c>
      <c r="AV79" s="739">
        <v>921175.15489999996</v>
      </c>
      <c r="AW79" s="739">
        <v>0</v>
      </c>
      <c r="AX79" s="739">
        <v>0</v>
      </c>
      <c r="AY79" s="739">
        <v>0</v>
      </c>
      <c r="AZ79" s="739">
        <v>0</v>
      </c>
      <c r="BA79" s="739">
        <v>0</v>
      </c>
      <c r="BB79" s="739">
        <v>0</v>
      </c>
      <c r="BC79" s="739">
        <v>0</v>
      </c>
      <c r="BD79" s="739">
        <v>0</v>
      </c>
      <c r="BE79" s="739">
        <v>0</v>
      </c>
      <c r="BF79" s="739">
        <v>0</v>
      </c>
      <c r="BG79" s="739">
        <v>0</v>
      </c>
      <c r="BH79" s="739">
        <v>0</v>
      </c>
      <c r="BI79" s="739">
        <v>0</v>
      </c>
      <c r="BJ79" s="739">
        <v>0</v>
      </c>
      <c r="BK79" s="739">
        <v>0</v>
      </c>
      <c r="BL79" s="739">
        <v>0</v>
      </c>
      <c r="BM79" s="739">
        <v>0</v>
      </c>
      <c r="BN79" s="739">
        <v>0</v>
      </c>
      <c r="BO79" s="739">
        <v>0</v>
      </c>
      <c r="BP79" s="739">
        <v>0</v>
      </c>
      <c r="BQ79" s="739">
        <v>0</v>
      </c>
      <c r="BR79" s="739">
        <v>0</v>
      </c>
      <c r="BS79" s="739">
        <v>0</v>
      </c>
      <c r="BT79" s="740">
        <v>0</v>
      </c>
      <c r="BU79" s="163"/>
    </row>
    <row r="80" spans="2:73" ht="15.5">
      <c r="B80" s="737" t="s">
        <v>208</v>
      </c>
      <c r="C80" s="737" t="s">
        <v>748</v>
      </c>
      <c r="D80" s="737" t="s">
        <v>22</v>
      </c>
      <c r="E80" s="737" t="s">
        <v>745</v>
      </c>
      <c r="F80" s="737" t="s">
        <v>755</v>
      </c>
      <c r="G80" s="737" t="s">
        <v>746</v>
      </c>
      <c r="H80" s="737">
        <v>2013</v>
      </c>
      <c r="I80" s="636" t="s">
        <v>574</v>
      </c>
      <c r="J80" s="636" t="s">
        <v>582</v>
      </c>
      <c r="K80" s="50"/>
      <c r="L80" s="738"/>
      <c r="M80" s="739"/>
      <c r="N80" s="739">
        <v>14.63705466</v>
      </c>
      <c r="O80" s="739">
        <v>14.63705466</v>
      </c>
      <c r="P80" s="739">
        <v>14.63705466</v>
      </c>
      <c r="Q80" s="739">
        <v>14.63705466</v>
      </c>
      <c r="R80" s="739">
        <v>14.63705466</v>
      </c>
      <c r="S80" s="739">
        <v>14.125882280000001</v>
      </c>
      <c r="T80" s="739">
        <v>14.125882280000001</v>
      </c>
      <c r="U80" s="739">
        <v>14.125882280000001</v>
      </c>
      <c r="V80" s="739">
        <v>13.04284116</v>
      </c>
      <c r="W80" s="739">
        <v>9.3165193750000004</v>
      </c>
      <c r="X80" s="739">
        <v>3.125934322</v>
      </c>
      <c r="Y80" s="739">
        <v>3.125934322</v>
      </c>
      <c r="Z80" s="739">
        <v>3.125934322</v>
      </c>
      <c r="AA80" s="739">
        <v>0</v>
      </c>
      <c r="AB80" s="739">
        <v>0</v>
      </c>
      <c r="AC80" s="739">
        <v>0</v>
      </c>
      <c r="AD80" s="739">
        <v>0</v>
      </c>
      <c r="AE80" s="739">
        <v>0</v>
      </c>
      <c r="AF80" s="739">
        <v>0</v>
      </c>
      <c r="AG80" s="739">
        <v>0</v>
      </c>
      <c r="AH80" s="739">
        <v>0</v>
      </c>
      <c r="AI80" s="739">
        <v>0</v>
      </c>
      <c r="AJ80" s="739">
        <v>0</v>
      </c>
      <c r="AK80" s="739">
        <v>0</v>
      </c>
      <c r="AL80" s="739">
        <v>0</v>
      </c>
      <c r="AM80" s="739">
        <v>0</v>
      </c>
      <c r="AN80" s="739">
        <v>0</v>
      </c>
      <c r="AO80" s="740">
        <v>0</v>
      </c>
      <c r="AP80" s="50"/>
      <c r="AQ80" s="738"/>
      <c r="AR80" s="739"/>
      <c r="AS80" s="739">
        <v>130237.07419999999</v>
      </c>
      <c r="AT80" s="739">
        <v>130237.07419999999</v>
      </c>
      <c r="AU80" s="739">
        <v>130237.07419999999</v>
      </c>
      <c r="AV80" s="739">
        <v>130237.07419999999</v>
      </c>
      <c r="AW80" s="739">
        <v>130237.07419999999</v>
      </c>
      <c r="AX80" s="739">
        <v>125013.6348</v>
      </c>
      <c r="AY80" s="739">
        <v>125013.6348</v>
      </c>
      <c r="AZ80" s="739">
        <v>124715.5583</v>
      </c>
      <c r="BA80" s="739">
        <v>120747.0699</v>
      </c>
      <c r="BB80" s="739">
        <v>82669.472970000003</v>
      </c>
      <c r="BC80" s="739">
        <v>13449.95349</v>
      </c>
      <c r="BD80" s="739">
        <v>10978.463110000001</v>
      </c>
      <c r="BE80" s="739">
        <v>10978.463110000001</v>
      </c>
      <c r="BF80" s="739">
        <v>0</v>
      </c>
      <c r="BG80" s="739">
        <v>0</v>
      </c>
      <c r="BH80" s="739">
        <v>0</v>
      </c>
      <c r="BI80" s="739">
        <v>0</v>
      </c>
      <c r="BJ80" s="739">
        <v>0</v>
      </c>
      <c r="BK80" s="739">
        <v>0</v>
      </c>
      <c r="BL80" s="739">
        <v>0</v>
      </c>
      <c r="BM80" s="739">
        <v>0</v>
      </c>
      <c r="BN80" s="739">
        <v>0</v>
      </c>
      <c r="BO80" s="739">
        <v>0</v>
      </c>
      <c r="BP80" s="739">
        <v>0</v>
      </c>
      <c r="BQ80" s="739">
        <v>0</v>
      </c>
      <c r="BR80" s="739">
        <v>0</v>
      </c>
      <c r="BS80" s="739">
        <v>0</v>
      </c>
      <c r="BT80" s="740">
        <v>0</v>
      </c>
      <c r="BU80" s="163"/>
    </row>
    <row r="81" spans="2:72" ht="14.5">
      <c r="B81" s="737" t="s">
        <v>208</v>
      </c>
      <c r="C81" s="737" t="s">
        <v>744</v>
      </c>
      <c r="D81" s="737" t="s">
        <v>4</v>
      </c>
      <c r="E81" s="737" t="s">
        <v>745</v>
      </c>
      <c r="F81" s="737" t="s">
        <v>29</v>
      </c>
      <c r="G81" s="737" t="s">
        <v>746</v>
      </c>
      <c r="H81" s="737">
        <v>2013</v>
      </c>
      <c r="I81" s="636" t="s">
        <v>574</v>
      </c>
      <c r="J81" s="636" t="s">
        <v>582</v>
      </c>
      <c r="K81" s="50"/>
      <c r="L81" s="738"/>
      <c r="M81" s="739"/>
      <c r="N81" s="739">
        <v>0.0089999999999999993</v>
      </c>
      <c r="O81" s="739">
        <v>0.0089999999999999993</v>
      </c>
      <c r="P81" s="739">
        <v>0.0089999999999999993</v>
      </c>
      <c r="Q81" s="739">
        <v>0.0080000000000000002</v>
      </c>
      <c r="R81" s="739">
        <v>0.0080000000000000002</v>
      </c>
      <c r="S81" s="739">
        <v>0.0080000000000000002</v>
      </c>
      <c r="T81" s="739">
        <v>0.0080000000000000002</v>
      </c>
      <c r="U81" s="739">
        <v>0.0080000000000000002</v>
      </c>
      <c r="V81" s="739">
        <v>0.0070000000000000001</v>
      </c>
      <c r="W81" s="739">
        <v>0.0070000000000000001</v>
      </c>
      <c r="X81" s="739">
        <v>0.0050000000000000001</v>
      </c>
      <c r="Y81" s="739">
        <v>0.0050000000000000001</v>
      </c>
      <c r="Z81" s="739">
        <v>0.0050000000000000001</v>
      </c>
      <c r="AA81" s="739">
        <v>0.0050000000000000001</v>
      </c>
      <c r="AB81" s="739">
        <v>0.0050000000000000001</v>
      </c>
      <c r="AC81" s="739">
        <v>0.0050000000000000001</v>
      </c>
      <c r="AD81" s="739">
        <v>0.0030000000000000001</v>
      </c>
      <c r="AE81" s="739">
        <v>0.0030000000000000001</v>
      </c>
      <c r="AF81" s="739">
        <v>0.0030000000000000001</v>
      </c>
      <c r="AG81" s="739">
        <v>0.0030000000000000001</v>
      </c>
      <c r="AH81" s="739">
        <v>0</v>
      </c>
      <c r="AI81" s="739">
        <v>0</v>
      </c>
      <c r="AJ81" s="739">
        <v>0</v>
      </c>
      <c r="AK81" s="739">
        <v>0</v>
      </c>
      <c r="AL81" s="739">
        <v>0</v>
      </c>
      <c r="AM81" s="739">
        <v>0</v>
      </c>
      <c r="AN81" s="739">
        <v>0</v>
      </c>
      <c r="AO81" s="740">
        <v>0</v>
      </c>
      <c r="AP81" s="50"/>
      <c r="AQ81" s="738"/>
      <c r="AR81" s="739"/>
      <c r="AS81" s="739">
        <v>129</v>
      </c>
      <c r="AT81" s="739">
        <v>129</v>
      </c>
      <c r="AU81" s="739">
        <v>123</v>
      </c>
      <c r="AV81" s="739">
        <v>106</v>
      </c>
      <c r="AW81" s="739">
        <v>106</v>
      </c>
      <c r="AX81" s="739">
        <v>106</v>
      </c>
      <c r="AY81" s="739">
        <v>106</v>
      </c>
      <c r="AZ81" s="739">
        <v>106</v>
      </c>
      <c r="BA81" s="739">
        <v>89</v>
      </c>
      <c r="BB81" s="739">
        <v>89</v>
      </c>
      <c r="BC81" s="739">
        <v>85</v>
      </c>
      <c r="BD81" s="739">
        <v>85</v>
      </c>
      <c r="BE81" s="739">
        <v>85</v>
      </c>
      <c r="BF81" s="739">
        <v>85</v>
      </c>
      <c r="BG81" s="739">
        <v>85</v>
      </c>
      <c r="BH81" s="739">
        <v>85</v>
      </c>
      <c r="BI81" s="739">
        <v>45</v>
      </c>
      <c r="BJ81" s="739">
        <v>45</v>
      </c>
      <c r="BK81" s="739">
        <v>45</v>
      </c>
      <c r="BL81" s="739">
        <v>45</v>
      </c>
      <c r="BM81" s="739">
        <v>0</v>
      </c>
      <c r="BN81" s="739">
        <v>0</v>
      </c>
      <c r="BO81" s="739">
        <v>0</v>
      </c>
      <c r="BP81" s="739">
        <v>0</v>
      </c>
      <c r="BQ81" s="739">
        <v>0</v>
      </c>
      <c r="BR81" s="739">
        <v>0</v>
      </c>
      <c r="BS81" s="739">
        <v>0</v>
      </c>
      <c r="BT81" s="740">
        <v>0</v>
      </c>
    </row>
    <row r="82" spans="2:73" ht="15.5">
      <c r="B82" s="737" t="s">
        <v>208</v>
      </c>
      <c r="C82" s="737" t="s">
        <v>763</v>
      </c>
      <c r="D82" s="737" t="s">
        <v>14</v>
      </c>
      <c r="E82" s="737" t="s">
        <v>745</v>
      </c>
      <c r="F82" s="737" t="s">
        <v>29</v>
      </c>
      <c r="G82" s="737" t="s">
        <v>746</v>
      </c>
      <c r="H82" s="737">
        <v>2013</v>
      </c>
      <c r="I82" s="636" t="s">
        <v>574</v>
      </c>
      <c r="J82" s="636" t="s">
        <v>582</v>
      </c>
      <c r="K82" s="50"/>
      <c r="L82" s="738"/>
      <c r="M82" s="739"/>
      <c r="N82" s="739">
        <v>1.7723727760000001</v>
      </c>
      <c r="O82" s="739">
        <v>1.765087359</v>
      </c>
      <c r="P82" s="739">
        <v>1.7610482139999999</v>
      </c>
      <c r="Q82" s="739">
        <v>1.706921637</v>
      </c>
      <c r="R82" s="739">
        <v>1.6815226780000001</v>
      </c>
      <c r="S82" s="739">
        <v>1.657530733</v>
      </c>
      <c r="T82" s="739">
        <v>1.657530733</v>
      </c>
      <c r="U82" s="739">
        <v>1.657530733</v>
      </c>
      <c r="V82" s="739">
        <v>1.4579721269999999</v>
      </c>
      <c r="W82" s="739">
        <v>1.4579721269999999</v>
      </c>
      <c r="X82" s="739">
        <v>1.429200053</v>
      </c>
      <c r="Y82" s="739">
        <v>1.429200053</v>
      </c>
      <c r="Z82" s="739">
        <v>1.429200053</v>
      </c>
      <c r="AA82" s="739">
        <v>1.429200053</v>
      </c>
      <c r="AB82" s="739">
        <v>0</v>
      </c>
      <c r="AC82" s="739">
        <v>0</v>
      </c>
      <c r="AD82" s="739">
        <v>0</v>
      </c>
      <c r="AE82" s="739">
        <v>0</v>
      </c>
      <c r="AF82" s="739">
        <v>0</v>
      </c>
      <c r="AG82" s="739">
        <v>0</v>
      </c>
      <c r="AH82" s="739">
        <v>0</v>
      </c>
      <c r="AI82" s="739">
        <v>0</v>
      </c>
      <c r="AJ82" s="739">
        <v>0</v>
      </c>
      <c r="AK82" s="739">
        <v>0</v>
      </c>
      <c r="AL82" s="739">
        <v>0</v>
      </c>
      <c r="AM82" s="739">
        <v>0</v>
      </c>
      <c r="AN82" s="739">
        <v>0</v>
      </c>
      <c r="AO82" s="740">
        <v>0</v>
      </c>
      <c r="AP82" s="50"/>
      <c r="AQ82" s="738"/>
      <c r="AR82" s="739"/>
      <c r="AS82" s="739">
        <v>18427.818869999999</v>
      </c>
      <c r="AT82" s="739">
        <v>18285.944960000001</v>
      </c>
      <c r="AU82" s="739">
        <v>18207.92268</v>
      </c>
      <c r="AV82" s="739">
        <v>17168.769329999999</v>
      </c>
      <c r="AW82" s="739">
        <v>16681.788499999999</v>
      </c>
      <c r="AX82" s="739">
        <v>16221.94292</v>
      </c>
      <c r="AY82" s="739">
        <v>16221.94292</v>
      </c>
      <c r="AZ82" s="739">
        <v>16221.94292</v>
      </c>
      <c r="BA82" s="739">
        <v>12389.3833</v>
      </c>
      <c r="BB82" s="739">
        <v>12389.3833</v>
      </c>
      <c r="BC82" s="739">
        <v>11754</v>
      </c>
      <c r="BD82" s="739">
        <v>11754</v>
      </c>
      <c r="BE82" s="739">
        <v>11754</v>
      </c>
      <c r="BF82" s="739">
        <v>11754</v>
      </c>
      <c r="BG82" s="739">
        <v>0</v>
      </c>
      <c r="BH82" s="739">
        <v>0</v>
      </c>
      <c r="BI82" s="739">
        <v>0</v>
      </c>
      <c r="BJ82" s="739">
        <v>0</v>
      </c>
      <c r="BK82" s="739">
        <v>0</v>
      </c>
      <c r="BL82" s="739">
        <v>0</v>
      </c>
      <c r="BM82" s="739">
        <v>0</v>
      </c>
      <c r="BN82" s="739">
        <v>0</v>
      </c>
      <c r="BO82" s="739">
        <v>0</v>
      </c>
      <c r="BP82" s="739">
        <v>0</v>
      </c>
      <c r="BQ82" s="739">
        <v>0</v>
      </c>
      <c r="BR82" s="739">
        <v>0</v>
      </c>
      <c r="BS82" s="739">
        <v>0</v>
      </c>
      <c r="BT82" s="740">
        <v>0</v>
      </c>
      <c r="BU82" s="163"/>
    </row>
    <row r="83" spans="2:73" ht="15.5">
      <c r="B83" s="737" t="s">
        <v>208</v>
      </c>
      <c r="C83" s="737" t="s">
        <v>744</v>
      </c>
      <c r="D83" s="737" t="s">
        <v>3</v>
      </c>
      <c r="E83" s="737" t="s">
        <v>745</v>
      </c>
      <c r="F83" s="737" t="s">
        <v>29</v>
      </c>
      <c r="G83" s="737" t="s">
        <v>747</v>
      </c>
      <c r="H83" s="737">
        <v>2013</v>
      </c>
      <c r="I83" s="636" t="s">
        <v>574</v>
      </c>
      <c r="J83" s="636" t="s">
        <v>582</v>
      </c>
      <c r="K83" s="50"/>
      <c r="L83" s="738"/>
      <c r="M83" s="739"/>
      <c r="N83" s="739">
        <v>5.613266962</v>
      </c>
      <c r="O83" s="739">
        <v>5.613266962</v>
      </c>
      <c r="P83" s="739">
        <v>5.613266962</v>
      </c>
      <c r="Q83" s="739">
        <v>5.613266962</v>
      </c>
      <c r="R83" s="739">
        <v>5.613266962</v>
      </c>
      <c r="S83" s="739">
        <v>5.613266962</v>
      </c>
      <c r="T83" s="739">
        <v>5.613266962</v>
      </c>
      <c r="U83" s="739">
        <v>5.613266962</v>
      </c>
      <c r="V83" s="739">
        <v>5.613266962</v>
      </c>
      <c r="W83" s="739">
        <v>5.613266962</v>
      </c>
      <c r="X83" s="739">
        <v>5.613266962</v>
      </c>
      <c r="Y83" s="739">
        <v>5.613266962</v>
      </c>
      <c r="Z83" s="739">
        <v>5.613266962</v>
      </c>
      <c r="AA83" s="739">
        <v>5.613266962</v>
      </c>
      <c r="AB83" s="739">
        <v>5.613266962</v>
      </c>
      <c r="AC83" s="739">
        <v>5.613266962</v>
      </c>
      <c r="AD83" s="739">
        <v>5.613266962</v>
      </c>
      <c r="AE83" s="739">
        <v>5.613266962</v>
      </c>
      <c r="AF83" s="739">
        <v>4.469928629</v>
      </c>
      <c r="AG83" s="739">
        <v>0</v>
      </c>
      <c r="AH83" s="739">
        <v>0</v>
      </c>
      <c r="AI83" s="739">
        <v>0</v>
      </c>
      <c r="AJ83" s="739">
        <v>0</v>
      </c>
      <c r="AK83" s="739">
        <v>0</v>
      </c>
      <c r="AL83" s="739">
        <v>0</v>
      </c>
      <c r="AM83" s="739">
        <v>0</v>
      </c>
      <c r="AN83" s="739">
        <v>0</v>
      </c>
      <c r="AO83" s="740">
        <v>0</v>
      </c>
      <c r="AP83" s="50"/>
      <c r="AQ83" s="738"/>
      <c r="AR83" s="739"/>
      <c r="AS83" s="739">
        <v>9701.8248294900004</v>
      </c>
      <c r="AT83" s="739">
        <v>9701.8248294900004</v>
      </c>
      <c r="AU83" s="739">
        <v>9701.8248294900004</v>
      </c>
      <c r="AV83" s="739">
        <v>9701.8248294900004</v>
      </c>
      <c r="AW83" s="739">
        <v>9701.8248294900004</v>
      </c>
      <c r="AX83" s="739">
        <v>9701.8248294900004</v>
      </c>
      <c r="AY83" s="739">
        <v>9701.8248294900004</v>
      </c>
      <c r="AZ83" s="739">
        <v>9701.8248294900004</v>
      </c>
      <c r="BA83" s="739">
        <v>9701.8248294900004</v>
      </c>
      <c r="BB83" s="739">
        <v>9701.8248294900004</v>
      </c>
      <c r="BC83" s="739">
        <v>9701.8248294900004</v>
      </c>
      <c r="BD83" s="739">
        <v>9701.8248294900004</v>
      </c>
      <c r="BE83" s="739">
        <v>9701.8248294900004</v>
      </c>
      <c r="BF83" s="739">
        <v>9701.8248294900004</v>
      </c>
      <c r="BG83" s="739">
        <v>9701.8248294900004</v>
      </c>
      <c r="BH83" s="739">
        <v>9701.8248294900004</v>
      </c>
      <c r="BI83" s="739">
        <v>9701.8248294900004</v>
      </c>
      <c r="BJ83" s="739">
        <v>9701.8248294900004</v>
      </c>
      <c r="BK83" s="739">
        <v>8679.3894710000004</v>
      </c>
      <c r="BL83" s="739">
        <v>0</v>
      </c>
      <c r="BM83" s="739">
        <v>0</v>
      </c>
      <c r="BN83" s="739">
        <v>0</v>
      </c>
      <c r="BO83" s="739">
        <v>0</v>
      </c>
      <c r="BP83" s="739">
        <v>0</v>
      </c>
      <c r="BQ83" s="739">
        <v>0</v>
      </c>
      <c r="BR83" s="739">
        <v>0</v>
      </c>
      <c r="BS83" s="739">
        <v>0</v>
      </c>
      <c r="BT83" s="740">
        <v>0</v>
      </c>
      <c r="BU83" s="163"/>
    </row>
    <row r="84" spans="2:73" ht="15.5">
      <c r="B84" s="737" t="s">
        <v>743</v>
      </c>
      <c r="C84" s="737" t="s">
        <v>744</v>
      </c>
      <c r="D84" s="737" t="s">
        <v>42</v>
      </c>
      <c r="E84" s="737" t="s">
        <v>745</v>
      </c>
      <c r="F84" s="737" t="s">
        <v>29</v>
      </c>
      <c r="G84" s="737" t="s">
        <v>747</v>
      </c>
      <c r="H84" s="737">
        <v>2013</v>
      </c>
      <c r="I84" s="636" t="s">
        <v>574</v>
      </c>
      <c r="J84" s="636" t="s">
        <v>582</v>
      </c>
      <c r="K84" s="50"/>
      <c r="L84" s="738"/>
      <c r="M84" s="739"/>
      <c r="N84" s="739">
        <v>0</v>
      </c>
      <c r="O84" s="739">
        <v>74.143129999999999</v>
      </c>
      <c r="P84" s="739">
        <v>0</v>
      </c>
      <c r="Q84" s="739">
        <v>0</v>
      </c>
      <c r="R84" s="739">
        <v>0</v>
      </c>
      <c r="S84" s="739">
        <v>0</v>
      </c>
      <c r="T84" s="739">
        <v>0</v>
      </c>
      <c r="U84" s="739">
        <v>0</v>
      </c>
      <c r="V84" s="739">
        <v>0</v>
      </c>
      <c r="W84" s="739">
        <v>0</v>
      </c>
      <c r="X84" s="739">
        <v>0</v>
      </c>
      <c r="Y84" s="739">
        <v>0</v>
      </c>
      <c r="Z84" s="739">
        <v>0</v>
      </c>
      <c r="AA84" s="739">
        <v>0</v>
      </c>
      <c r="AB84" s="739">
        <v>0</v>
      </c>
      <c r="AC84" s="739">
        <v>0</v>
      </c>
      <c r="AD84" s="739">
        <v>0</v>
      </c>
      <c r="AE84" s="739">
        <v>0</v>
      </c>
      <c r="AF84" s="739">
        <v>0</v>
      </c>
      <c r="AG84" s="739">
        <v>0</v>
      </c>
      <c r="AH84" s="739">
        <v>0</v>
      </c>
      <c r="AI84" s="739">
        <v>0</v>
      </c>
      <c r="AJ84" s="739">
        <v>0</v>
      </c>
      <c r="AK84" s="739">
        <v>0</v>
      </c>
      <c r="AL84" s="739">
        <v>0</v>
      </c>
      <c r="AM84" s="739">
        <v>0</v>
      </c>
      <c r="AN84" s="739">
        <v>0</v>
      </c>
      <c r="AO84" s="740">
        <v>0</v>
      </c>
      <c r="AP84" s="50"/>
      <c r="AQ84" s="738"/>
      <c r="AR84" s="739"/>
      <c r="AS84" s="739">
        <v>0</v>
      </c>
      <c r="AT84" s="739">
        <v>0</v>
      </c>
      <c r="AU84" s="739">
        <v>0</v>
      </c>
      <c r="AV84" s="739">
        <v>0</v>
      </c>
      <c r="AW84" s="739">
        <v>0</v>
      </c>
      <c r="AX84" s="739">
        <v>0</v>
      </c>
      <c r="AY84" s="739">
        <v>0</v>
      </c>
      <c r="AZ84" s="739">
        <v>0</v>
      </c>
      <c r="BA84" s="739">
        <v>0</v>
      </c>
      <c r="BB84" s="739">
        <v>0</v>
      </c>
      <c r="BC84" s="739">
        <v>0</v>
      </c>
      <c r="BD84" s="739">
        <v>0</v>
      </c>
      <c r="BE84" s="739">
        <v>0</v>
      </c>
      <c r="BF84" s="739">
        <v>0</v>
      </c>
      <c r="BG84" s="739">
        <v>0</v>
      </c>
      <c r="BH84" s="739">
        <v>0</v>
      </c>
      <c r="BI84" s="739">
        <v>0</v>
      </c>
      <c r="BJ84" s="739">
        <v>0</v>
      </c>
      <c r="BK84" s="739">
        <v>0</v>
      </c>
      <c r="BL84" s="739">
        <v>0</v>
      </c>
      <c r="BM84" s="739">
        <v>0</v>
      </c>
      <c r="BN84" s="739">
        <v>0</v>
      </c>
      <c r="BO84" s="739">
        <v>0</v>
      </c>
      <c r="BP84" s="739">
        <v>0</v>
      </c>
      <c r="BQ84" s="739">
        <v>0</v>
      </c>
      <c r="BR84" s="739">
        <v>0</v>
      </c>
      <c r="BS84" s="739">
        <v>0</v>
      </c>
      <c r="BT84" s="740">
        <v>0</v>
      </c>
      <c r="BU84" s="163"/>
    </row>
    <row r="85" spans="2:72" ht="14.5">
      <c r="B85" s="737" t="s">
        <v>743</v>
      </c>
      <c r="C85" s="737" t="s">
        <v>751</v>
      </c>
      <c r="D85" s="737" t="s">
        <v>764</v>
      </c>
      <c r="E85" s="737" t="s">
        <v>745</v>
      </c>
      <c r="F85" s="737" t="s">
        <v>751</v>
      </c>
      <c r="G85" s="737" t="s">
        <v>746</v>
      </c>
      <c r="H85" s="737">
        <v>2013</v>
      </c>
      <c r="I85" s="636" t="s">
        <v>574</v>
      </c>
      <c r="J85" s="636" t="s">
        <v>582</v>
      </c>
      <c r="K85" s="50"/>
      <c r="L85" s="738"/>
      <c r="M85" s="739"/>
      <c r="N85" s="739">
        <v>0.17749799999999999</v>
      </c>
      <c r="O85" s="739">
        <v>0.17749799999999999</v>
      </c>
      <c r="P85" s="739">
        <v>0.17749799999999999</v>
      </c>
      <c r="Q85" s="739">
        <v>0</v>
      </c>
      <c r="R85" s="739">
        <v>0</v>
      </c>
      <c r="S85" s="739">
        <v>0</v>
      </c>
      <c r="T85" s="739">
        <v>0</v>
      </c>
      <c r="U85" s="739">
        <v>0</v>
      </c>
      <c r="V85" s="739">
        <v>0</v>
      </c>
      <c r="W85" s="739">
        <v>0</v>
      </c>
      <c r="X85" s="739">
        <v>0</v>
      </c>
      <c r="Y85" s="739">
        <v>0</v>
      </c>
      <c r="Z85" s="739">
        <v>0</v>
      </c>
      <c r="AA85" s="739">
        <v>0</v>
      </c>
      <c r="AB85" s="739">
        <v>0</v>
      </c>
      <c r="AC85" s="739">
        <v>0</v>
      </c>
      <c r="AD85" s="739">
        <v>0</v>
      </c>
      <c r="AE85" s="739">
        <v>0</v>
      </c>
      <c r="AF85" s="739">
        <v>0</v>
      </c>
      <c r="AG85" s="739">
        <v>0</v>
      </c>
      <c r="AH85" s="739">
        <v>0</v>
      </c>
      <c r="AI85" s="739">
        <v>0</v>
      </c>
      <c r="AJ85" s="739">
        <v>0</v>
      </c>
      <c r="AK85" s="739">
        <v>0</v>
      </c>
      <c r="AL85" s="739">
        <v>0</v>
      </c>
      <c r="AM85" s="739">
        <v>0</v>
      </c>
      <c r="AN85" s="739">
        <v>0</v>
      </c>
      <c r="AO85" s="740">
        <v>0</v>
      </c>
      <c r="AP85" s="50"/>
      <c r="AQ85" s="738"/>
      <c r="AR85" s="739"/>
      <c r="AS85" s="739">
        <v>10467.69231</v>
      </c>
      <c r="AT85" s="739">
        <v>10467.69231</v>
      </c>
      <c r="AU85" s="739">
        <v>10467.69231</v>
      </c>
      <c r="AV85" s="739">
        <v>0</v>
      </c>
      <c r="AW85" s="739">
        <v>0</v>
      </c>
      <c r="AX85" s="739">
        <v>0</v>
      </c>
      <c r="AY85" s="739">
        <v>0</v>
      </c>
      <c r="AZ85" s="739">
        <v>0</v>
      </c>
      <c r="BA85" s="739">
        <v>0</v>
      </c>
      <c r="BB85" s="739">
        <v>0</v>
      </c>
      <c r="BC85" s="739">
        <v>0</v>
      </c>
      <c r="BD85" s="739">
        <v>0</v>
      </c>
      <c r="BE85" s="739">
        <v>0</v>
      </c>
      <c r="BF85" s="739">
        <v>0</v>
      </c>
      <c r="BG85" s="739">
        <v>0</v>
      </c>
      <c r="BH85" s="739">
        <v>0</v>
      </c>
      <c r="BI85" s="739">
        <v>0</v>
      </c>
      <c r="BJ85" s="739">
        <v>0</v>
      </c>
      <c r="BK85" s="739">
        <v>0</v>
      </c>
      <c r="BL85" s="739">
        <v>0</v>
      </c>
      <c r="BM85" s="739">
        <v>0</v>
      </c>
      <c r="BN85" s="739">
        <v>0</v>
      </c>
      <c r="BO85" s="739">
        <v>0</v>
      </c>
      <c r="BP85" s="739">
        <v>0</v>
      </c>
      <c r="BQ85" s="739">
        <v>0</v>
      </c>
      <c r="BR85" s="739">
        <v>0</v>
      </c>
      <c r="BS85" s="739">
        <v>0</v>
      </c>
      <c r="BT85" s="740">
        <v>0</v>
      </c>
    </row>
    <row r="86" spans="2:72" ht="14.5">
      <c r="B86" s="737" t="s">
        <v>208</v>
      </c>
      <c r="C86" s="737" t="s">
        <v>748</v>
      </c>
      <c r="D86" s="737" t="s">
        <v>21</v>
      </c>
      <c r="E86" s="737" t="s">
        <v>745</v>
      </c>
      <c r="F86" s="737" t="s">
        <v>755</v>
      </c>
      <c r="G86" s="737" t="s">
        <v>746</v>
      </c>
      <c r="H86" s="737">
        <v>2014</v>
      </c>
      <c r="I86" s="636" t="s">
        <v>574</v>
      </c>
      <c r="J86" s="636" t="s">
        <v>589</v>
      </c>
      <c r="K86" s="50"/>
      <c r="L86" s="738"/>
      <c r="M86" s="739"/>
      <c r="N86" s="739"/>
      <c r="O86" s="739">
        <v>20.830616890000002</v>
      </c>
      <c r="P86" s="739">
        <v>20.830616890000002</v>
      </c>
      <c r="Q86" s="739">
        <v>16.512675779999999</v>
      </c>
      <c r="R86" s="739">
        <v>11.081446400000001</v>
      </c>
      <c r="S86" s="739">
        <v>11.081446400000001</v>
      </c>
      <c r="T86" s="739">
        <v>11.081446400000001</v>
      </c>
      <c r="U86" s="739">
        <v>11.081446400000001</v>
      </c>
      <c r="V86" s="739">
        <v>11.081446400000001</v>
      </c>
      <c r="W86" s="739">
        <v>11.081446400000001</v>
      </c>
      <c r="X86" s="739">
        <v>11.081446400000001</v>
      </c>
      <c r="Y86" s="739">
        <v>11.081446400000001</v>
      </c>
      <c r="Z86" s="739">
        <v>1.2316640329999999</v>
      </c>
      <c r="AA86" s="739">
        <v>0</v>
      </c>
      <c r="AB86" s="739">
        <v>0</v>
      </c>
      <c r="AC86" s="739">
        <v>0</v>
      </c>
      <c r="AD86" s="739">
        <v>0</v>
      </c>
      <c r="AE86" s="739">
        <v>0</v>
      </c>
      <c r="AF86" s="739">
        <v>0</v>
      </c>
      <c r="AG86" s="739">
        <v>0</v>
      </c>
      <c r="AH86" s="739">
        <v>0</v>
      </c>
      <c r="AI86" s="739">
        <v>0</v>
      </c>
      <c r="AJ86" s="739">
        <v>0</v>
      </c>
      <c r="AK86" s="739">
        <v>0</v>
      </c>
      <c r="AL86" s="739">
        <v>0</v>
      </c>
      <c r="AM86" s="739">
        <v>0</v>
      </c>
      <c r="AN86" s="739">
        <v>0</v>
      </c>
      <c r="AO86" s="740">
        <v>0</v>
      </c>
      <c r="AP86" s="50"/>
      <c r="AQ86" s="738"/>
      <c r="AR86" s="739"/>
      <c r="AS86" s="739"/>
      <c r="AT86" s="739">
        <v>76510.412830000001</v>
      </c>
      <c r="AU86" s="739">
        <v>76510.412830000001</v>
      </c>
      <c r="AV86" s="739">
        <v>61937.727879999999</v>
      </c>
      <c r="AW86" s="739">
        <v>41663.551039999998</v>
      </c>
      <c r="AX86" s="739">
        <v>41663.551039999998</v>
      </c>
      <c r="AY86" s="739">
        <v>41663.551039999998</v>
      </c>
      <c r="AZ86" s="739">
        <v>41663.551039999998</v>
      </c>
      <c r="BA86" s="739">
        <v>41663.551039999998</v>
      </c>
      <c r="BB86" s="739">
        <v>41663.551039999998</v>
      </c>
      <c r="BC86" s="739">
        <v>41663.551039999998</v>
      </c>
      <c r="BD86" s="739">
        <v>41663.551039999998</v>
      </c>
      <c r="BE86" s="739">
        <v>4565.3420059999999</v>
      </c>
      <c r="BF86" s="739">
        <v>0</v>
      </c>
      <c r="BG86" s="739">
        <v>0</v>
      </c>
      <c r="BH86" s="739">
        <v>0</v>
      </c>
      <c r="BI86" s="739">
        <v>0</v>
      </c>
      <c r="BJ86" s="739">
        <v>0</v>
      </c>
      <c r="BK86" s="739">
        <v>0</v>
      </c>
      <c r="BL86" s="739">
        <v>0</v>
      </c>
      <c r="BM86" s="739">
        <v>0</v>
      </c>
      <c r="BN86" s="739">
        <v>0</v>
      </c>
      <c r="BO86" s="739">
        <v>0</v>
      </c>
      <c r="BP86" s="739">
        <v>0</v>
      </c>
      <c r="BQ86" s="739">
        <v>0</v>
      </c>
      <c r="BR86" s="739">
        <v>0</v>
      </c>
      <c r="BS86" s="739">
        <v>0</v>
      </c>
      <c r="BT86" s="740">
        <v>0</v>
      </c>
    </row>
    <row r="87" spans="2:72" ht="14.5">
      <c r="B87" s="737" t="s">
        <v>208</v>
      </c>
      <c r="C87" s="737" t="s">
        <v>748</v>
      </c>
      <c r="D87" s="737" t="s">
        <v>20</v>
      </c>
      <c r="E87" s="737" t="s">
        <v>745</v>
      </c>
      <c r="F87" s="737" t="s">
        <v>755</v>
      </c>
      <c r="G87" s="737" t="s">
        <v>746</v>
      </c>
      <c r="H87" s="737">
        <v>2014</v>
      </c>
      <c r="I87" s="636" t="s">
        <v>574</v>
      </c>
      <c r="J87" s="636" t="s">
        <v>589</v>
      </c>
      <c r="K87" s="50"/>
      <c r="L87" s="738"/>
      <c r="M87" s="739"/>
      <c r="N87" s="739"/>
      <c r="O87" s="739">
        <v>26.73386103</v>
      </c>
      <c r="P87" s="739">
        <v>26.73386103</v>
      </c>
      <c r="Q87" s="739">
        <v>26.73386103</v>
      </c>
      <c r="R87" s="739">
        <v>26.73386103</v>
      </c>
      <c r="S87" s="739">
        <v>0</v>
      </c>
      <c r="T87" s="739">
        <v>0</v>
      </c>
      <c r="U87" s="739">
        <v>0</v>
      </c>
      <c r="V87" s="739">
        <v>0</v>
      </c>
      <c r="W87" s="739">
        <v>0</v>
      </c>
      <c r="X87" s="739">
        <v>0</v>
      </c>
      <c r="Y87" s="739">
        <v>0</v>
      </c>
      <c r="Z87" s="739">
        <v>0</v>
      </c>
      <c r="AA87" s="739">
        <v>0</v>
      </c>
      <c r="AB87" s="739">
        <v>0</v>
      </c>
      <c r="AC87" s="739">
        <v>0</v>
      </c>
      <c r="AD87" s="739">
        <v>0</v>
      </c>
      <c r="AE87" s="739">
        <v>0</v>
      </c>
      <c r="AF87" s="739">
        <v>0</v>
      </c>
      <c r="AG87" s="739">
        <v>0</v>
      </c>
      <c r="AH87" s="739">
        <v>0</v>
      </c>
      <c r="AI87" s="739">
        <v>0</v>
      </c>
      <c r="AJ87" s="739">
        <v>0</v>
      </c>
      <c r="AK87" s="739">
        <v>0</v>
      </c>
      <c r="AL87" s="739">
        <v>0</v>
      </c>
      <c r="AM87" s="739">
        <v>0</v>
      </c>
      <c r="AN87" s="739">
        <v>0</v>
      </c>
      <c r="AO87" s="740">
        <v>0</v>
      </c>
      <c r="AP87" s="50"/>
      <c r="AQ87" s="738"/>
      <c r="AR87" s="739"/>
      <c r="AS87" s="739"/>
      <c r="AT87" s="739">
        <v>130547.1401</v>
      </c>
      <c r="AU87" s="739">
        <v>130547.1401</v>
      </c>
      <c r="AV87" s="739">
        <v>130547.1401</v>
      </c>
      <c r="AW87" s="739">
        <v>130547.1401</v>
      </c>
      <c r="AX87" s="739">
        <v>0</v>
      </c>
      <c r="AY87" s="739">
        <v>0</v>
      </c>
      <c r="AZ87" s="739">
        <v>0</v>
      </c>
      <c r="BA87" s="739">
        <v>0</v>
      </c>
      <c r="BB87" s="739">
        <v>0</v>
      </c>
      <c r="BC87" s="739">
        <v>0</v>
      </c>
      <c r="BD87" s="739">
        <v>0</v>
      </c>
      <c r="BE87" s="739">
        <v>0</v>
      </c>
      <c r="BF87" s="739">
        <v>0</v>
      </c>
      <c r="BG87" s="739">
        <v>0</v>
      </c>
      <c r="BH87" s="739">
        <v>0</v>
      </c>
      <c r="BI87" s="739">
        <v>0</v>
      </c>
      <c r="BJ87" s="739">
        <v>0</v>
      </c>
      <c r="BK87" s="739">
        <v>0</v>
      </c>
      <c r="BL87" s="739">
        <v>0</v>
      </c>
      <c r="BM87" s="739">
        <v>0</v>
      </c>
      <c r="BN87" s="739">
        <v>0</v>
      </c>
      <c r="BO87" s="739">
        <v>0</v>
      </c>
      <c r="BP87" s="739">
        <v>0</v>
      </c>
      <c r="BQ87" s="739">
        <v>0</v>
      </c>
      <c r="BR87" s="739">
        <v>0</v>
      </c>
      <c r="BS87" s="739">
        <v>0</v>
      </c>
      <c r="BT87" s="740">
        <v>0</v>
      </c>
    </row>
    <row r="88" spans="2:72" ht="14.5">
      <c r="B88" s="737" t="s">
        <v>208</v>
      </c>
      <c r="C88" s="737" t="s">
        <v>748</v>
      </c>
      <c r="D88" s="737" t="s">
        <v>17</v>
      </c>
      <c r="E88" s="737" t="s">
        <v>745</v>
      </c>
      <c r="F88" s="737" t="s">
        <v>755</v>
      </c>
      <c r="G88" s="737" t="s">
        <v>746</v>
      </c>
      <c r="H88" s="737">
        <v>2014</v>
      </c>
      <c r="I88" s="636" t="s">
        <v>574</v>
      </c>
      <c r="J88" s="636" t="s">
        <v>589</v>
      </c>
      <c r="K88" s="50"/>
      <c r="L88" s="738"/>
      <c r="M88" s="739"/>
      <c r="N88" s="739"/>
      <c r="O88" s="739">
        <v>24.329093839999999</v>
      </c>
      <c r="P88" s="739">
        <v>24.329093839999999</v>
      </c>
      <c r="Q88" s="739">
        <v>24.329093839999999</v>
      </c>
      <c r="R88" s="739">
        <v>24.329093839999999</v>
      </c>
      <c r="S88" s="739">
        <v>24.329093839999999</v>
      </c>
      <c r="T88" s="739">
        <v>24.329093839999999</v>
      </c>
      <c r="U88" s="739">
        <v>24.329093839999999</v>
      </c>
      <c r="V88" s="739">
        <v>24.329093839999999</v>
      </c>
      <c r="W88" s="739">
        <v>17.742821840000001</v>
      </c>
      <c r="X88" s="739">
        <v>17.742821840000001</v>
      </c>
      <c r="Y88" s="739">
        <v>1.492110437</v>
      </c>
      <c r="Z88" s="739">
        <v>1.492110437</v>
      </c>
      <c r="AA88" s="739">
        <v>1.492110437</v>
      </c>
      <c r="AB88" s="739">
        <v>1.492110437</v>
      </c>
      <c r="AC88" s="739">
        <v>1.159470437</v>
      </c>
      <c r="AD88" s="739">
        <v>0</v>
      </c>
      <c r="AE88" s="739">
        <v>0</v>
      </c>
      <c r="AF88" s="739">
        <v>0</v>
      </c>
      <c r="AG88" s="739">
        <v>0</v>
      </c>
      <c r="AH88" s="739">
        <v>0</v>
      </c>
      <c r="AI88" s="739">
        <v>0</v>
      </c>
      <c r="AJ88" s="739">
        <v>0</v>
      </c>
      <c r="AK88" s="739">
        <v>0</v>
      </c>
      <c r="AL88" s="739">
        <v>0</v>
      </c>
      <c r="AM88" s="739">
        <v>0</v>
      </c>
      <c r="AN88" s="739">
        <v>0</v>
      </c>
      <c r="AO88" s="740">
        <v>0</v>
      </c>
      <c r="AP88" s="50"/>
      <c r="AQ88" s="738"/>
      <c r="AR88" s="739"/>
      <c r="AS88" s="739"/>
      <c r="AT88" s="739">
        <v>126131.6814</v>
      </c>
      <c r="AU88" s="739">
        <v>126131.6814</v>
      </c>
      <c r="AV88" s="739">
        <v>126131.6814</v>
      </c>
      <c r="AW88" s="739">
        <v>126131.6814</v>
      </c>
      <c r="AX88" s="739">
        <v>126131.6814</v>
      </c>
      <c r="AY88" s="739">
        <v>126131.6814</v>
      </c>
      <c r="AZ88" s="739">
        <v>126131.6814</v>
      </c>
      <c r="BA88" s="739">
        <v>126131.6814</v>
      </c>
      <c r="BB88" s="739">
        <v>104362.76940000001</v>
      </c>
      <c r="BC88" s="739">
        <v>104362.76940000001</v>
      </c>
      <c r="BD88" s="739">
        <v>3228.471978</v>
      </c>
      <c r="BE88" s="739">
        <v>3228.471978</v>
      </c>
      <c r="BF88" s="739">
        <v>3228.471978</v>
      </c>
      <c r="BG88" s="739">
        <v>3228.471978</v>
      </c>
      <c r="BH88" s="739">
        <v>2129.031978</v>
      </c>
      <c r="BI88" s="739">
        <v>0</v>
      </c>
      <c r="BJ88" s="739">
        <v>0</v>
      </c>
      <c r="BK88" s="739">
        <v>0</v>
      </c>
      <c r="BL88" s="739">
        <v>0</v>
      </c>
      <c r="BM88" s="739">
        <v>0</v>
      </c>
      <c r="BN88" s="739">
        <v>0</v>
      </c>
      <c r="BO88" s="739">
        <v>0</v>
      </c>
      <c r="BP88" s="739">
        <v>0</v>
      </c>
      <c r="BQ88" s="739">
        <v>0</v>
      </c>
      <c r="BR88" s="739">
        <v>0</v>
      </c>
      <c r="BS88" s="739">
        <v>0</v>
      </c>
      <c r="BT88" s="740">
        <v>0</v>
      </c>
    </row>
    <row r="89" spans="2:72" ht="14.5">
      <c r="B89" s="737" t="s">
        <v>208</v>
      </c>
      <c r="C89" s="737" t="s">
        <v>748</v>
      </c>
      <c r="D89" s="737" t="s">
        <v>22</v>
      </c>
      <c r="E89" s="737" t="s">
        <v>745</v>
      </c>
      <c r="F89" s="737" t="s">
        <v>755</v>
      </c>
      <c r="G89" s="737" t="s">
        <v>746</v>
      </c>
      <c r="H89" s="737">
        <v>2014</v>
      </c>
      <c r="I89" s="636" t="s">
        <v>574</v>
      </c>
      <c r="J89" s="636" t="s">
        <v>589</v>
      </c>
      <c r="K89" s="50"/>
      <c r="L89" s="738"/>
      <c r="M89" s="739"/>
      <c r="N89" s="739"/>
      <c r="O89" s="739">
        <v>273.98344700000001</v>
      </c>
      <c r="P89" s="739">
        <v>273.85193029999999</v>
      </c>
      <c r="Q89" s="739">
        <v>273.85193029999999</v>
      </c>
      <c r="R89" s="739">
        <v>272.03739150000001</v>
      </c>
      <c r="S89" s="739">
        <v>272.03739150000001</v>
      </c>
      <c r="T89" s="739">
        <v>248.49758009999999</v>
      </c>
      <c r="U89" s="739">
        <v>235.3691786</v>
      </c>
      <c r="V89" s="739">
        <v>235.3691786</v>
      </c>
      <c r="W89" s="739">
        <v>223.35833009999999</v>
      </c>
      <c r="X89" s="739">
        <v>167.74004590000001</v>
      </c>
      <c r="Y89" s="739">
        <v>113.30595099999999</v>
      </c>
      <c r="Z89" s="739">
        <v>113.30595099999999</v>
      </c>
      <c r="AA89" s="739">
        <v>52.208944709999997</v>
      </c>
      <c r="AB89" s="739">
        <v>51.998892990000002</v>
      </c>
      <c r="AC89" s="739">
        <v>51.998892990000002</v>
      </c>
      <c r="AD89" s="739">
        <v>40.501160509999998</v>
      </c>
      <c r="AE89" s="739">
        <v>4.5502267119999997</v>
      </c>
      <c r="AF89" s="739">
        <v>4.5502267119999997</v>
      </c>
      <c r="AG89" s="739">
        <v>4.5502267119999997</v>
      </c>
      <c r="AH89" s="739">
        <v>4.5502267119999997</v>
      </c>
      <c r="AI89" s="739">
        <v>0</v>
      </c>
      <c r="AJ89" s="739">
        <v>0</v>
      </c>
      <c r="AK89" s="739">
        <v>0</v>
      </c>
      <c r="AL89" s="739">
        <v>0</v>
      </c>
      <c r="AM89" s="739">
        <v>0</v>
      </c>
      <c r="AN89" s="739">
        <v>0</v>
      </c>
      <c r="AO89" s="740">
        <v>0</v>
      </c>
      <c r="AP89" s="50"/>
      <c r="AQ89" s="738"/>
      <c r="AR89" s="739"/>
      <c r="AS89" s="739"/>
      <c r="AT89" s="739">
        <v>1553508.237</v>
      </c>
      <c r="AU89" s="739">
        <v>1553050.1000000001</v>
      </c>
      <c r="AV89" s="739">
        <v>1553050.1000000001</v>
      </c>
      <c r="AW89" s="739">
        <v>1546714.3489999999</v>
      </c>
      <c r="AX89" s="739">
        <v>1546714.3489999999</v>
      </c>
      <c r="AY89" s="739">
        <v>1464713.686</v>
      </c>
      <c r="AZ89" s="739">
        <v>1387605.767</v>
      </c>
      <c r="BA89" s="739">
        <v>1387605.767</v>
      </c>
      <c r="BB89" s="739">
        <v>1332261.6240000001</v>
      </c>
      <c r="BC89" s="739">
        <v>1001970.095</v>
      </c>
      <c r="BD89" s="739">
        <v>672703.33640000003</v>
      </c>
      <c r="BE89" s="739">
        <v>659979.84649999999</v>
      </c>
      <c r="BF89" s="739">
        <v>252005.63320000001</v>
      </c>
      <c r="BG89" s="739">
        <v>251273.9204</v>
      </c>
      <c r="BH89" s="739">
        <v>251273.9204</v>
      </c>
      <c r="BI89" s="739">
        <v>197175.0871</v>
      </c>
      <c r="BJ89" s="739">
        <v>12443.097980000001</v>
      </c>
      <c r="BK89" s="739">
        <v>12443.097980000001</v>
      </c>
      <c r="BL89" s="739">
        <v>12443.097980000001</v>
      </c>
      <c r="BM89" s="739">
        <v>12443.097980000001</v>
      </c>
      <c r="BN89" s="739">
        <v>0</v>
      </c>
      <c r="BO89" s="739">
        <v>0</v>
      </c>
      <c r="BP89" s="739">
        <v>0</v>
      </c>
      <c r="BQ89" s="739">
        <v>0</v>
      </c>
      <c r="BR89" s="739">
        <v>0</v>
      </c>
      <c r="BS89" s="739">
        <v>0</v>
      </c>
      <c r="BT89" s="740">
        <v>0</v>
      </c>
    </row>
    <row r="90" spans="2:72" ht="14.5">
      <c r="B90" s="737" t="s">
        <v>208</v>
      </c>
      <c r="C90" s="737" t="s">
        <v>744</v>
      </c>
      <c r="D90" s="737" t="s">
        <v>2</v>
      </c>
      <c r="E90" s="737" t="s">
        <v>745</v>
      </c>
      <c r="F90" s="737" t="s">
        <v>29</v>
      </c>
      <c r="G90" s="737" t="s">
        <v>746</v>
      </c>
      <c r="H90" s="737">
        <v>2014</v>
      </c>
      <c r="I90" s="636" t="s">
        <v>574</v>
      </c>
      <c r="J90" s="636" t="s">
        <v>589</v>
      </c>
      <c r="K90" s="50"/>
      <c r="L90" s="738"/>
      <c r="M90" s="739"/>
      <c r="N90" s="739"/>
      <c r="O90" s="739">
        <v>7.4589875650000002</v>
      </c>
      <c r="P90" s="739">
        <v>7.4589875650000002</v>
      </c>
      <c r="Q90" s="739">
        <v>7.4589875650000002</v>
      </c>
      <c r="R90" s="739">
        <v>7.4589875650000002</v>
      </c>
      <c r="S90" s="739">
        <v>0</v>
      </c>
      <c r="T90" s="739">
        <v>0</v>
      </c>
      <c r="U90" s="739">
        <v>0</v>
      </c>
      <c r="V90" s="739">
        <v>0</v>
      </c>
      <c r="W90" s="739">
        <v>0</v>
      </c>
      <c r="X90" s="739">
        <v>0</v>
      </c>
      <c r="Y90" s="739">
        <v>0</v>
      </c>
      <c r="Z90" s="739">
        <v>0</v>
      </c>
      <c r="AA90" s="739">
        <v>0</v>
      </c>
      <c r="AB90" s="739">
        <v>0</v>
      </c>
      <c r="AC90" s="739">
        <v>0</v>
      </c>
      <c r="AD90" s="739">
        <v>0</v>
      </c>
      <c r="AE90" s="739">
        <v>0</v>
      </c>
      <c r="AF90" s="739">
        <v>0</v>
      </c>
      <c r="AG90" s="739">
        <v>0</v>
      </c>
      <c r="AH90" s="739">
        <v>0</v>
      </c>
      <c r="AI90" s="739">
        <v>0</v>
      </c>
      <c r="AJ90" s="739">
        <v>0</v>
      </c>
      <c r="AK90" s="739">
        <v>0</v>
      </c>
      <c r="AL90" s="739">
        <v>0</v>
      </c>
      <c r="AM90" s="739">
        <v>0</v>
      </c>
      <c r="AN90" s="739">
        <v>0</v>
      </c>
      <c r="AO90" s="740">
        <v>0</v>
      </c>
      <c r="AP90" s="50"/>
      <c r="AQ90" s="738"/>
      <c r="AR90" s="739"/>
      <c r="AS90" s="739"/>
      <c r="AT90" s="739">
        <v>13299.83561</v>
      </c>
      <c r="AU90" s="739">
        <v>13299.83561</v>
      </c>
      <c r="AV90" s="739">
        <v>13299.83561</v>
      </c>
      <c r="AW90" s="739">
        <v>13299.83561</v>
      </c>
      <c r="AX90" s="739">
        <v>0</v>
      </c>
      <c r="AY90" s="739">
        <v>0</v>
      </c>
      <c r="AZ90" s="739">
        <v>0</v>
      </c>
      <c r="BA90" s="739">
        <v>0</v>
      </c>
      <c r="BB90" s="739">
        <v>0</v>
      </c>
      <c r="BC90" s="739">
        <v>0</v>
      </c>
      <c r="BD90" s="739">
        <v>0</v>
      </c>
      <c r="BE90" s="739">
        <v>0</v>
      </c>
      <c r="BF90" s="739">
        <v>0</v>
      </c>
      <c r="BG90" s="739">
        <v>0</v>
      </c>
      <c r="BH90" s="739">
        <v>0</v>
      </c>
      <c r="BI90" s="739">
        <v>0</v>
      </c>
      <c r="BJ90" s="739">
        <v>0</v>
      </c>
      <c r="BK90" s="739">
        <v>0</v>
      </c>
      <c r="BL90" s="739">
        <v>0</v>
      </c>
      <c r="BM90" s="739">
        <v>0</v>
      </c>
      <c r="BN90" s="739">
        <v>0</v>
      </c>
      <c r="BO90" s="739">
        <v>0</v>
      </c>
      <c r="BP90" s="739">
        <v>0</v>
      </c>
      <c r="BQ90" s="739">
        <v>0</v>
      </c>
      <c r="BR90" s="739">
        <v>0</v>
      </c>
      <c r="BS90" s="739">
        <v>0</v>
      </c>
      <c r="BT90" s="740">
        <v>0</v>
      </c>
    </row>
    <row r="91" spans="2:72" ht="14.5">
      <c r="B91" s="737" t="s">
        <v>208</v>
      </c>
      <c r="C91" s="737" t="s">
        <v>744</v>
      </c>
      <c r="D91" s="737" t="s">
        <v>1</v>
      </c>
      <c r="E91" s="737" t="s">
        <v>745</v>
      </c>
      <c r="F91" s="737" t="s">
        <v>29</v>
      </c>
      <c r="G91" s="737" t="s">
        <v>746</v>
      </c>
      <c r="H91" s="737">
        <v>2014</v>
      </c>
      <c r="I91" s="636" t="s">
        <v>574</v>
      </c>
      <c r="J91" s="636" t="s">
        <v>589</v>
      </c>
      <c r="K91" s="50"/>
      <c r="L91" s="738"/>
      <c r="M91" s="739"/>
      <c r="N91" s="739"/>
      <c r="O91" s="739">
        <v>0.11675429700000001</v>
      </c>
      <c r="P91" s="739">
        <v>0.11675429700000001</v>
      </c>
      <c r="Q91" s="739">
        <v>0.11675429700000001</v>
      </c>
      <c r="R91" s="739">
        <v>0</v>
      </c>
      <c r="S91" s="739">
        <v>0</v>
      </c>
      <c r="T91" s="739">
        <v>0</v>
      </c>
      <c r="U91" s="739">
        <v>0</v>
      </c>
      <c r="V91" s="739">
        <v>0</v>
      </c>
      <c r="W91" s="739">
        <v>0</v>
      </c>
      <c r="X91" s="739">
        <v>0</v>
      </c>
      <c r="Y91" s="739">
        <v>0</v>
      </c>
      <c r="Z91" s="739">
        <v>0</v>
      </c>
      <c r="AA91" s="739">
        <v>0</v>
      </c>
      <c r="AB91" s="739">
        <v>0</v>
      </c>
      <c r="AC91" s="739">
        <v>0</v>
      </c>
      <c r="AD91" s="739">
        <v>0</v>
      </c>
      <c r="AE91" s="739">
        <v>0</v>
      </c>
      <c r="AF91" s="739">
        <v>0</v>
      </c>
      <c r="AG91" s="739">
        <v>0</v>
      </c>
      <c r="AH91" s="739">
        <v>0</v>
      </c>
      <c r="AI91" s="739">
        <v>0</v>
      </c>
      <c r="AJ91" s="739">
        <v>0</v>
      </c>
      <c r="AK91" s="739">
        <v>0</v>
      </c>
      <c r="AL91" s="739">
        <v>0</v>
      </c>
      <c r="AM91" s="739">
        <v>0</v>
      </c>
      <c r="AN91" s="739">
        <v>0</v>
      </c>
      <c r="AO91" s="740">
        <v>0</v>
      </c>
      <c r="AP91" s="50"/>
      <c r="AQ91" s="738"/>
      <c r="AR91" s="739"/>
      <c r="AS91" s="739"/>
      <c r="AT91" s="739">
        <v>104.40804660000001</v>
      </c>
      <c r="AU91" s="739">
        <v>104.40804660000001</v>
      </c>
      <c r="AV91" s="739">
        <v>104.40804660000001</v>
      </c>
      <c r="AW91" s="739">
        <v>0</v>
      </c>
      <c r="AX91" s="739">
        <v>0</v>
      </c>
      <c r="AY91" s="739">
        <v>0</v>
      </c>
      <c r="AZ91" s="739">
        <v>0</v>
      </c>
      <c r="BA91" s="739">
        <v>0</v>
      </c>
      <c r="BB91" s="739">
        <v>0</v>
      </c>
      <c r="BC91" s="739">
        <v>0</v>
      </c>
      <c r="BD91" s="739">
        <v>0</v>
      </c>
      <c r="BE91" s="739">
        <v>0</v>
      </c>
      <c r="BF91" s="739">
        <v>0</v>
      </c>
      <c r="BG91" s="739">
        <v>0</v>
      </c>
      <c r="BH91" s="739">
        <v>0</v>
      </c>
      <c r="BI91" s="739">
        <v>0</v>
      </c>
      <c r="BJ91" s="739">
        <v>0</v>
      </c>
      <c r="BK91" s="739">
        <v>0</v>
      </c>
      <c r="BL91" s="739">
        <v>0</v>
      </c>
      <c r="BM91" s="739">
        <v>0</v>
      </c>
      <c r="BN91" s="739">
        <v>0</v>
      </c>
      <c r="BO91" s="739">
        <v>0</v>
      </c>
      <c r="BP91" s="739">
        <v>0</v>
      </c>
      <c r="BQ91" s="739">
        <v>0</v>
      </c>
      <c r="BR91" s="739">
        <v>0</v>
      </c>
      <c r="BS91" s="739">
        <v>0</v>
      </c>
      <c r="BT91" s="740">
        <v>0</v>
      </c>
    </row>
    <row r="92" spans="2:72" ht="14.5">
      <c r="B92" s="737" t="s">
        <v>208</v>
      </c>
      <c r="C92" s="737" t="s">
        <v>744</v>
      </c>
      <c r="D92" s="737" t="s">
        <v>1</v>
      </c>
      <c r="E92" s="737" t="s">
        <v>745</v>
      </c>
      <c r="F92" s="737" t="s">
        <v>29</v>
      </c>
      <c r="G92" s="737" t="s">
        <v>746</v>
      </c>
      <c r="H92" s="737">
        <v>2014</v>
      </c>
      <c r="I92" s="636" t="s">
        <v>574</v>
      </c>
      <c r="J92" s="636" t="s">
        <v>589</v>
      </c>
      <c r="K92" s="50"/>
      <c r="L92" s="738"/>
      <c r="M92" s="739"/>
      <c r="N92" s="739"/>
      <c r="O92" s="739">
        <v>0</v>
      </c>
      <c r="P92" s="739">
        <v>0</v>
      </c>
      <c r="Q92" s="739">
        <v>0</v>
      </c>
      <c r="R92" s="739">
        <v>0</v>
      </c>
      <c r="S92" s="739">
        <v>0</v>
      </c>
      <c r="T92" s="739">
        <v>0</v>
      </c>
      <c r="U92" s="739">
        <v>0</v>
      </c>
      <c r="V92" s="739">
        <v>0</v>
      </c>
      <c r="W92" s="739">
        <v>0</v>
      </c>
      <c r="X92" s="739">
        <v>0</v>
      </c>
      <c r="Y92" s="739">
        <v>0</v>
      </c>
      <c r="Z92" s="739">
        <v>0</v>
      </c>
      <c r="AA92" s="739">
        <v>0</v>
      </c>
      <c r="AB92" s="739">
        <v>0</v>
      </c>
      <c r="AC92" s="739">
        <v>0</v>
      </c>
      <c r="AD92" s="739">
        <v>0</v>
      </c>
      <c r="AE92" s="739">
        <v>0</v>
      </c>
      <c r="AF92" s="739">
        <v>0</v>
      </c>
      <c r="AG92" s="739">
        <v>0</v>
      </c>
      <c r="AH92" s="739">
        <v>0</v>
      </c>
      <c r="AI92" s="739">
        <v>0</v>
      </c>
      <c r="AJ92" s="739">
        <v>0</v>
      </c>
      <c r="AK92" s="739">
        <v>0</v>
      </c>
      <c r="AL92" s="739">
        <v>0</v>
      </c>
      <c r="AM92" s="739">
        <v>0</v>
      </c>
      <c r="AN92" s="739">
        <v>0</v>
      </c>
      <c r="AO92" s="740">
        <v>0</v>
      </c>
      <c r="AP92" s="50"/>
      <c r="AQ92" s="738"/>
      <c r="AR92" s="739"/>
      <c r="AS92" s="739"/>
      <c r="AT92" s="739">
        <v>0</v>
      </c>
      <c r="AU92" s="739">
        <v>0</v>
      </c>
      <c r="AV92" s="739">
        <v>0</v>
      </c>
      <c r="AW92" s="739">
        <v>0</v>
      </c>
      <c r="AX92" s="739">
        <v>0</v>
      </c>
      <c r="AY92" s="739">
        <v>0</v>
      </c>
      <c r="AZ92" s="739">
        <v>0</v>
      </c>
      <c r="BA92" s="739">
        <v>0</v>
      </c>
      <c r="BB92" s="739">
        <v>0</v>
      </c>
      <c r="BC92" s="739">
        <v>0</v>
      </c>
      <c r="BD92" s="739">
        <v>0</v>
      </c>
      <c r="BE92" s="739">
        <v>0</v>
      </c>
      <c r="BF92" s="739">
        <v>0</v>
      </c>
      <c r="BG92" s="739">
        <v>0</v>
      </c>
      <c r="BH92" s="739">
        <v>0</v>
      </c>
      <c r="BI92" s="739">
        <v>0</v>
      </c>
      <c r="BJ92" s="739">
        <v>0</v>
      </c>
      <c r="BK92" s="739">
        <v>0</v>
      </c>
      <c r="BL92" s="739">
        <v>0</v>
      </c>
      <c r="BM92" s="739">
        <v>0</v>
      </c>
      <c r="BN92" s="739">
        <v>0</v>
      </c>
      <c r="BO92" s="739">
        <v>0</v>
      </c>
      <c r="BP92" s="739">
        <v>0</v>
      </c>
      <c r="BQ92" s="739">
        <v>0</v>
      </c>
      <c r="BR92" s="739">
        <v>0</v>
      </c>
      <c r="BS92" s="739">
        <v>0</v>
      </c>
      <c r="BT92" s="740">
        <v>0</v>
      </c>
    </row>
    <row r="93" spans="2:72" ht="14.5">
      <c r="B93" s="737" t="s">
        <v>208</v>
      </c>
      <c r="C93" s="737" t="s">
        <v>744</v>
      </c>
      <c r="D93" s="737" t="s">
        <v>1</v>
      </c>
      <c r="E93" s="737" t="s">
        <v>745</v>
      </c>
      <c r="F93" s="737" t="s">
        <v>29</v>
      </c>
      <c r="G93" s="737" t="s">
        <v>746</v>
      </c>
      <c r="H93" s="737">
        <v>2014</v>
      </c>
      <c r="I93" s="636" t="s">
        <v>574</v>
      </c>
      <c r="J93" s="636" t="s">
        <v>589</v>
      </c>
      <c r="K93" s="50"/>
      <c r="L93" s="738"/>
      <c r="M93" s="739"/>
      <c r="N93" s="739"/>
      <c r="O93" s="739">
        <v>2.0210086646958243</v>
      </c>
      <c r="P93" s="739">
        <v>2.0210086646958243</v>
      </c>
      <c r="Q93" s="739">
        <v>2.0210086646958243</v>
      </c>
      <c r="R93" s="739">
        <v>2.0210086646958243</v>
      </c>
      <c r="S93" s="739">
        <v>0</v>
      </c>
      <c r="T93" s="739">
        <v>0</v>
      </c>
      <c r="U93" s="739">
        <v>0</v>
      </c>
      <c r="V93" s="739">
        <v>0</v>
      </c>
      <c r="W93" s="739">
        <v>0</v>
      </c>
      <c r="X93" s="739">
        <v>0</v>
      </c>
      <c r="Y93" s="739">
        <v>0</v>
      </c>
      <c r="Z93" s="739">
        <v>0</v>
      </c>
      <c r="AA93" s="739">
        <v>0</v>
      </c>
      <c r="AB93" s="739">
        <v>0</v>
      </c>
      <c r="AC93" s="739">
        <v>0</v>
      </c>
      <c r="AD93" s="739">
        <v>0</v>
      </c>
      <c r="AE93" s="739">
        <v>0</v>
      </c>
      <c r="AF93" s="739">
        <v>0</v>
      </c>
      <c r="AG93" s="739">
        <v>0</v>
      </c>
      <c r="AH93" s="739">
        <v>0</v>
      </c>
      <c r="AI93" s="739">
        <v>0</v>
      </c>
      <c r="AJ93" s="739">
        <v>0</v>
      </c>
      <c r="AK93" s="739">
        <v>0</v>
      </c>
      <c r="AL93" s="739">
        <v>0</v>
      </c>
      <c r="AM93" s="739">
        <v>0</v>
      </c>
      <c r="AN93" s="739">
        <v>0</v>
      </c>
      <c r="AO93" s="740">
        <v>0</v>
      </c>
      <c r="AP93" s="50"/>
      <c r="AQ93" s="738"/>
      <c r="AR93" s="739"/>
      <c r="AS93" s="739"/>
      <c r="AT93" s="739">
        <v>14633.251805196534</v>
      </c>
      <c r="AU93" s="739">
        <v>14633.251805196534</v>
      </c>
      <c r="AV93" s="739">
        <v>14633.251805196534</v>
      </c>
      <c r="AW93" s="739">
        <v>14633.251805196534</v>
      </c>
      <c r="AX93" s="739">
        <v>0</v>
      </c>
      <c r="AY93" s="739">
        <v>0</v>
      </c>
      <c r="AZ93" s="739">
        <v>0</v>
      </c>
      <c r="BA93" s="739">
        <v>0</v>
      </c>
      <c r="BB93" s="739">
        <v>0</v>
      </c>
      <c r="BC93" s="739">
        <v>0</v>
      </c>
      <c r="BD93" s="739">
        <v>0</v>
      </c>
      <c r="BE93" s="739">
        <v>0</v>
      </c>
      <c r="BF93" s="739">
        <v>0</v>
      </c>
      <c r="BG93" s="739">
        <v>0</v>
      </c>
      <c r="BH93" s="739">
        <v>0</v>
      </c>
      <c r="BI93" s="739">
        <v>0</v>
      </c>
      <c r="BJ93" s="739">
        <v>0</v>
      </c>
      <c r="BK93" s="739">
        <v>0</v>
      </c>
      <c r="BL93" s="739">
        <v>0</v>
      </c>
      <c r="BM93" s="739">
        <v>0</v>
      </c>
      <c r="BN93" s="739">
        <v>0</v>
      </c>
      <c r="BO93" s="739">
        <v>0</v>
      </c>
      <c r="BP93" s="739">
        <v>0</v>
      </c>
      <c r="BQ93" s="739">
        <v>0</v>
      </c>
      <c r="BR93" s="739">
        <v>0</v>
      </c>
      <c r="BS93" s="739">
        <v>0</v>
      </c>
      <c r="BT93" s="740">
        <v>0</v>
      </c>
    </row>
    <row r="94" spans="2:72" ht="14.5">
      <c r="B94" s="737" t="s">
        <v>208</v>
      </c>
      <c r="C94" s="737" t="s">
        <v>744</v>
      </c>
      <c r="D94" s="737" t="s">
        <v>1</v>
      </c>
      <c r="E94" s="737" t="s">
        <v>745</v>
      </c>
      <c r="F94" s="737" t="s">
        <v>29</v>
      </c>
      <c r="G94" s="737" t="s">
        <v>746</v>
      </c>
      <c r="H94" s="737">
        <v>2014</v>
      </c>
      <c r="I94" s="636" t="s">
        <v>574</v>
      </c>
      <c r="J94" s="636" t="s">
        <v>589</v>
      </c>
      <c r="K94" s="50"/>
      <c r="L94" s="738"/>
      <c r="M94" s="739"/>
      <c r="N94" s="739"/>
      <c r="O94" s="739">
        <v>2.8828784238997391</v>
      </c>
      <c r="P94" s="739">
        <v>2.8828784238997391</v>
      </c>
      <c r="Q94" s="739">
        <v>2.8828784238997391</v>
      </c>
      <c r="R94" s="739">
        <v>2.8828784238997391</v>
      </c>
      <c r="S94" s="739">
        <v>2.8828784238997391</v>
      </c>
      <c r="T94" s="739">
        <v>0</v>
      </c>
      <c r="U94" s="739">
        <v>0</v>
      </c>
      <c r="V94" s="739">
        <v>0</v>
      </c>
      <c r="W94" s="739">
        <v>0</v>
      </c>
      <c r="X94" s="739">
        <v>0</v>
      </c>
      <c r="Y94" s="739">
        <v>0</v>
      </c>
      <c r="Z94" s="739">
        <v>0</v>
      </c>
      <c r="AA94" s="739">
        <v>0</v>
      </c>
      <c r="AB94" s="739">
        <v>0</v>
      </c>
      <c r="AC94" s="739">
        <v>0</v>
      </c>
      <c r="AD94" s="739">
        <v>0</v>
      </c>
      <c r="AE94" s="739">
        <v>0</v>
      </c>
      <c r="AF94" s="739">
        <v>0</v>
      </c>
      <c r="AG94" s="739">
        <v>0</v>
      </c>
      <c r="AH94" s="739">
        <v>0</v>
      </c>
      <c r="AI94" s="739">
        <v>0</v>
      </c>
      <c r="AJ94" s="739">
        <v>0</v>
      </c>
      <c r="AK94" s="739">
        <v>0</v>
      </c>
      <c r="AL94" s="739">
        <v>0</v>
      </c>
      <c r="AM94" s="739">
        <v>0</v>
      </c>
      <c r="AN94" s="739">
        <v>0</v>
      </c>
      <c r="AO94" s="740">
        <v>0</v>
      </c>
      <c r="AP94" s="50"/>
      <c r="AQ94" s="738"/>
      <c r="AR94" s="739"/>
      <c r="AS94" s="739"/>
      <c r="AT94" s="739">
        <v>19616.201457875493</v>
      </c>
      <c r="AU94" s="739">
        <v>19616.201457875493</v>
      </c>
      <c r="AV94" s="739">
        <v>19616.201457875493</v>
      </c>
      <c r="AW94" s="739">
        <v>19616.201457875493</v>
      </c>
      <c r="AX94" s="739">
        <v>19616.201457875493</v>
      </c>
      <c r="AY94" s="739">
        <v>0</v>
      </c>
      <c r="AZ94" s="739">
        <v>0</v>
      </c>
      <c r="BA94" s="739">
        <v>0</v>
      </c>
      <c r="BB94" s="739">
        <v>0</v>
      </c>
      <c r="BC94" s="739">
        <v>0</v>
      </c>
      <c r="BD94" s="739">
        <v>0</v>
      </c>
      <c r="BE94" s="739">
        <v>0</v>
      </c>
      <c r="BF94" s="739">
        <v>0</v>
      </c>
      <c r="BG94" s="739">
        <v>0</v>
      </c>
      <c r="BH94" s="739">
        <v>0</v>
      </c>
      <c r="BI94" s="739">
        <v>0</v>
      </c>
      <c r="BJ94" s="739">
        <v>0</v>
      </c>
      <c r="BK94" s="739">
        <v>0</v>
      </c>
      <c r="BL94" s="739">
        <v>0</v>
      </c>
      <c r="BM94" s="739">
        <v>0</v>
      </c>
      <c r="BN94" s="739">
        <v>0</v>
      </c>
      <c r="BO94" s="739">
        <v>0</v>
      </c>
      <c r="BP94" s="739">
        <v>0</v>
      </c>
      <c r="BQ94" s="739">
        <v>0</v>
      </c>
      <c r="BR94" s="739">
        <v>0</v>
      </c>
      <c r="BS94" s="739">
        <v>0</v>
      </c>
      <c r="BT94" s="740">
        <v>0</v>
      </c>
    </row>
    <row r="95" spans="2:72" ht="14.5">
      <c r="B95" s="737" t="s">
        <v>208</v>
      </c>
      <c r="C95" s="737" t="s">
        <v>744</v>
      </c>
      <c r="D95" s="737" t="s">
        <v>5</v>
      </c>
      <c r="E95" s="737" t="s">
        <v>745</v>
      </c>
      <c r="F95" s="737" t="s">
        <v>29</v>
      </c>
      <c r="G95" s="737" t="s">
        <v>746</v>
      </c>
      <c r="H95" s="737">
        <v>2014</v>
      </c>
      <c r="I95" s="636" t="s">
        <v>574</v>
      </c>
      <c r="J95" s="636" t="s">
        <v>589</v>
      </c>
      <c r="K95" s="50"/>
      <c r="L95" s="738"/>
      <c r="M95" s="739"/>
      <c r="N95" s="739"/>
      <c r="O95" s="739">
        <v>44.035646810000003</v>
      </c>
      <c r="P95" s="739">
        <v>38.438340439999998</v>
      </c>
      <c r="Q95" s="739">
        <v>35.521334289999999</v>
      </c>
      <c r="R95" s="739">
        <v>35.521334289999999</v>
      </c>
      <c r="S95" s="739">
        <v>35.521334289999999</v>
      </c>
      <c r="T95" s="739">
        <v>35.521334289999999</v>
      </c>
      <c r="U95" s="739">
        <v>35.521334289999999</v>
      </c>
      <c r="V95" s="739">
        <v>35.494767860000003</v>
      </c>
      <c r="W95" s="739">
        <v>35.494767860000003</v>
      </c>
      <c r="X95" s="739">
        <v>33.136833529999997</v>
      </c>
      <c r="Y95" s="739">
        <v>30.156553500000001</v>
      </c>
      <c r="Z95" s="739">
        <v>25.54538135</v>
      </c>
      <c r="AA95" s="739">
        <v>25.54538135</v>
      </c>
      <c r="AB95" s="739">
        <v>25.422457510000001</v>
      </c>
      <c r="AC95" s="739">
        <v>25.422457510000001</v>
      </c>
      <c r="AD95" s="739">
        <v>25.370530380000002</v>
      </c>
      <c r="AE95" s="739">
        <v>20.6245744</v>
      </c>
      <c r="AF95" s="739">
        <v>20.6245744</v>
      </c>
      <c r="AG95" s="739">
        <v>20.6245744</v>
      </c>
      <c r="AH95" s="739">
        <v>20.6245744</v>
      </c>
      <c r="AI95" s="739">
        <v>0</v>
      </c>
      <c r="AJ95" s="739">
        <v>0</v>
      </c>
      <c r="AK95" s="739">
        <v>0</v>
      </c>
      <c r="AL95" s="739">
        <v>0</v>
      </c>
      <c r="AM95" s="739">
        <v>0</v>
      </c>
      <c r="AN95" s="739">
        <v>0</v>
      </c>
      <c r="AO95" s="740">
        <v>0</v>
      </c>
      <c r="AP95" s="50"/>
      <c r="AQ95" s="738"/>
      <c r="AR95" s="739"/>
      <c r="AS95" s="739"/>
      <c r="AT95" s="739">
        <v>672861.92119999998</v>
      </c>
      <c r="AU95" s="739">
        <v>583700.60889999999</v>
      </c>
      <c r="AV95" s="739">
        <v>537234.66980000003</v>
      </c>
      <c r="AW95" s="739">
        <v>537234.66980000003</v>
      </c>
      <c r="AX95" s="739">
        <v>537234.66980000003</v>
      </c>
      <c r="AY95" s="739">
        <v>537234.66980000003</v>
      </c>
      <c r="AZ95" s="739">
        <v>537234.66980000003</v>
      </c>
      <c r="BA95" s="739">
        <v>537001.94790000003</v>
      </c>
      <c r="BB95" s="739">
        <v>537001.94790000003</v>
      </c>
      <c r="BC95" s="739">
        <v>499441.64559999999</v>
      </c>
      <c r="BD95" s="739">
        <v>485552.38990000001</v>
      </c>
      <c r="BE95" s="739">
        <v>410587.1605</v>
      </c>
      <c r="BF95" s="739">
        <v>410587.1605</v>
      </c>
      <c r="BG95" s="739">
        <v>404707.58769999997</v>
      </c>
      <c r="BH95" s="739">
        <v>404707.58769999997</v>
      </c>
      <c r="BI95" s="739">
        <v>404135.42420000001</v>
      </c>
      <c r="BJ95" s="739">
        <v>328535.54879999999</v>
      </c>
      <c r="BK95" s="739">
        <v>328535.54879999999</v>
      </c>
      <c r="BL95" s="739">
        <v>328535.54879999999</v>
      </c>
      <c r="BM95" s="739">
        <v>328535.54879999999</v>
      </c>
      <c r="BN95" s="739">
        <v>0</v>
      </c>
      <c r="BO95" s="739">
        <v>0</v>
      </c>
      <c r="BP95" s="739">
        <v>0</v>
      </c>
      <c r="BQ95" s="739">
        <v>0</v>
      </c>
      <c r="BR95" s="739">
        <v>0</v>
      </c>
      <c r="BS95" s="739">
        <v>0</v>
      </c>
      <c r="BT95" s="740">
        <v>0</v>
      </c>
    </row>
    <row r="96" spans="2:72" ht="14.5">
      <c r="B96" s="737" t="s">
        <v>208</v>
      </c>
      <c r="C96" s="737" t="s">
        <v>744</v>
      </c>
      <c r="D96" s="737" t="s">
        <v>4</v>
      </c>
      <c r="E96" s="737" t="s">
        <v>745</v>
      </c>
      <c r="F96" s="737" t="s">
        <v>29</v>
      </c>
      <c r="G96" s="737" t="s">
        <v>746</v>
      </c>
      <c r="H96" s="737">
        <v>2014</v>
      </c>
      <c r="I96" s="636" t="s">
        <v>574</v>
      </c>
      <c r="J96" s="636" t="s">
        <v>589</v>
      </c>
      <c r="K96" s="50"/>
      <c r="L96" s="738"/>
      <c r="M96" s="739"/>
      <c r="N96" s="739"/>
      <c r="O96" s="739">
        <v>11.53298644</v>
      </c>
      <c r="P96" s="739">
        <v>10.866809870000001</v>
      </c>
      <c r="Q96" s="739">
        <v>10.54506312</v>
      </c>
      <c r="R96" s="739">
        <v>10.54506312</v>
      </c>
      <c r="S96" s="739">
        <v>10.54506312</v>
      </c>
      <c r="T96" s="739">
        <v>10.54506312</v>
      </c>
      <c r="U96" s="739">
        <v>10.54506312</v>
      </c>
      <c r="V96" s="739">
        <v>10.514345690000001</v>
      </c>
      <c r="W96" s="739">
        <v>10.514345690000001</v>
      </c>
      <c r="X96" s="739">
        <v>9.2621166989999999</v>
      </c>
      <c r="Y96" s="739">
        <v>6.7491287030000002</v>
      </c>
      <c r="Z96" s="739">
        <v>6.7489623659999998</v>
      </c>
      <c r="AA96" s="739">
        <v>6.7489623659999998</v>
      </c>
      <c r="AB96" s="739">
        <v>6.7356215529999997</v>
      </c>
      <c r="AC96" s="739">
        <v>6.7356215529999997</v>
      </c>
      <c r="AD96" s="739">
        <v>6.7239986979999999</v>
      </c>
      <c r="AE96" s="739">
        <v>3.0300276859999999</v>
      </c>
      <c r="AF96" s="739">
        <v>3.0300276859999999</v>
      </c>
      <c r="AG96" s="739">
        <v>3.0300276859999999</v>
      </c>
      <c r="AH96" s="739">
        <v>3.0300276859999999</v>
      </c>
      <c r="AI96" s="739">
        <v>0</v>
      </c>
      <c r="AJ96" s="739">
        <v>0</v>
      </c>
      <c r="AK96" s="739">
        <v>0</v>
      </c>
      <c r="AL96" s="739">
        <v>0</v>
      </c>
      <c r="AM96" s="739">
        <v>0</v>
      </c>
      <c r="AN96" s="739">
        <v>0</v>
      </c>
      <c r="AO96" s="740">
        <v>0</v>
      </c>
      <c r="AP96" s="50"/>
      <c r="AQ96" s="738"/>
      <c r="AR96" s="739"/>
      <c r="AS96" s="739"/>
      <c r="AT96" s="739">
        <v>154152.75940000001</v>
      </c>
      <c r="AU96" s="739">
        <v>143541.01629999999</v>
      </c>
      <c r="AV96" s="739">
        <v>138415.80780000001</v>
      </c>
      <c r="AW96" s="739">
        <v>138415.80780000001</v>
      </c>
      <c r="AX96" s="739">
        <v>138415.80780000001</v>
      </c>
      <c r="AY96" s="739">
        <v>138415.80780000001</v>
      </c>
      <c r="AZ96" s="739">
        <v>138415.80780000001</v>
      </c>
      <c r="BA96" s="739">
        <v>138146.7231</v>
      </c>
      <c r="BB96" s="739">
        <v>138146.7231</v>
      </c>
      <c r="BC96" s="739">
        <v>118199.56050000001</v>
      </c>
      <c r="BD96" s="739">
        <v>109253.6847</v>
      </c>
      <c r="BE96" s="739">
        <v>107882.8795</v>
      </c>
      <c r="BF96" s="739">
        <v>107882.8795</v>
      </c>
      <c r="BG96" s="739">
        <v>107236.8281</v>
      </c>
      <c r="BH96" s="739">
        <v>107236.8281</v>
      </c>
      <c r="BI96" s="739">
        <v>107108.7607</v>
      </c>
      <c r="BJ96" s="739">
        <v>48266.295819999999</v>
      </c>
      <c r="BK96" s="739">
        <v>48266.295819999999</v>
      </c>
      <c r="BL96" s="739">
        <v>48266.295819999999</v>
      </c>
      <c r="BM96" s="739">
        <v>48266.295819999999</v>
      </c>
      <c r="BN96" s="739">
        <v>0</v>
      </c>
      <c r="BO96" s="739">
        <v>0</v>
      </c>
      <c r="BP96" s="739">
        <v>0</v>
      </c>
      <c r="BQ96" s="739">
        <v>0</v>
      </c>
      <c r="BR96" s="739">
        <v>0</v>
      </c>
      <c r="BS96" s="739">
        <v>0</v>
      </c>
      <c r="BT96" s="740">
        <v>0</v>
      </c>
    </row>
    <row r="97" spans="2:72" ht="14.5">
      <c r="B97" s="737" t="s">
        <v>208</v>
      </c>
      <c r="C97" s="737" t="s">
        <v>763</v>
      </c>
      <c r="D97" s="737" t="s">
        <v>14</v>
      </c>
      <c r="E97" s="737" t="s">
        <v>745</v>
      </c>
      <c r="F97" s="737" t="s">
        <v>29</v>
      </c>
      <c r="G97" s="737" t="s">
        <v>746</v>
      </c>
      <c r="H97" s="737">
        <v>2014</v>
      </c>
      <c r="I97" s="636" t="s">
        <v>574</v>
      </c>
      <c r="J97" s="636" t="s">
        <v>589</v>
      </c>
      <c r="K97" s="50"/>
      <c r="L97" s="738"/>
      <c r="M97" s="739"/>
      <c r="N97" s="739"/>
      <c r="O97" s="739">
        <v>1.756417178</v>
      </c>
      <c r="P97" s="739">
        <v>1.7246067629999999</v>
      </c>
      <c r="Q97" s="739">
        <v>1.5639798060000001</v>
      </c>
      <c r="R97" s="739">
        <v>1.476803879</v>
      </c>
      <c r="S97" s="739">
        <v>1.402647773</v>
      </c>
      <c r="T97" s="739">
        <v>1.402647773</v>
      </c>
      <c r="U97" s="739">
        <v>1.402647773</v>
      </c>
      <c r="V97" s="739">
        <v>1.402647773</v>
      </c>
      <c r="W97" s="739">
        <v>0.78258011100000002</v>
      </c>
      <c r="X97" s="739">
        <v>0.78258011100000002</v>
      </c>
      <c r="Y97" s="739">
        <v>0.36543123799999999</v>
      </c>
      <c r="Z97" s="739">
        <v>0.36543123799999999</v>
      </c>
      <c r="AA97" s="739">
        <v>0.36543123799999999</v>
      </c>
      <c r="AB97" s="739">
        <v>0.36543123799999999</v>
      </c>
      <c r="AC97" s="739">
        <v>0.28333124199999998</v>
      </c>
      <c r="AD97" s="739">
        <v>0</v>
      </c>
      <c r="AE97" s="739">
        <v>0</v>
      </c>
      <c r="AF97" s="739">
        <v>0</v>
      </c>
      <c r="AG97" s="739">
        <v>0</v>
      </c>
      <c r="AH97" s="739">
        <v>0</v>
      </c>
      <c r="AI97" s="739">
        <v>0</v>
      </c>
      <c r="AJ97" s="739">
        <v>0</v>
      </c>
      <c r="AK97" s="739">
        <v>0</v>
      </c>
      <c r="AL97" s="739">
        <v>0</v>
      </c>
      <c r="AM97" s="739">
        <v>0</v>
      </c>
      <c r="AN97" s="739">
        <v>0</v>
      </c>
      <c r="AO97" s="740">
        <v>0</v>
      </c>
      <c r="AP97" s="50"/>
      <c r="AQ97" s="738"/>
      <c r="AR97" s="739"/>
      <c r="AS97" s="739"/>
      <c r="AT97" s="739">
        <v>26375.740419999998</v>
      </c>
      <c r="AU97" s="739">
        <v>25762.148020000001</v>
      </c>
      <c r="AV97" s="739">
        <v>22681.152050000001</v>
      </c>
      <c r="AW97" s="739">
        <v>21008.730439999999</v>
      </c>
      <c r="AX97" s="739">
        <v>19587.404900000001</v>
      </c>
      <c r="AY97" s="739">
        <v>19587.404900000001</v>
      </c>
      <c r="AZ97" s="739">
        <v>19587.404900000001</v>
      </c>
      <c r="BA97" s="739">
        <v>19587.404900000001</v>
      </c>
      <c r="BB97" s="739">
        <v>7687.796867</v>
      </c>
      <c r="BC97" s="739">
        <v>7687.796867</v>
      </c>
      <c r="BD97" s="739">
        <v>3015.5625</v>
      </c>
      <c r="BE97" s="739">
        <v>3015.5625</v>
      </c>
      <c r="BF97" s="739">
        <v>3015.5625</v>
      </c>
      <c r="BG97" s="739">
        <v>3015.5625</v>
      </c>
      <c r="BH97" s="739">
        <v>2340.5625</v>
      </c>
      <c r="BI97" s="739">
        <v>0</v>
      </c>
      <c r="BJ97" s="739">
        <v>0</v>
      </c>
      <c r="BK97" s="739">
        <v>0</v>
      </c>
      <c r="BL97" s="739">
        <v>0</v>
      </c>
      <c r="BM97" s="739">
        <v>0</v>
      </c>
      <c r="BN97" s="739">
        <v>0</v>
      </c>
      <c r="BO97" s="739">
        <v>0</v>
      </c>
      <c r="BP97" s="739">
        <v>0</v>
      </c>
      <c r="BQ97" s="739">
        <v>0</v>
      </c>
      <c r="BR97" s="739">
        <v>0</v>
      </c>
      <c r="BS97" s="739">
        <v>0</v>
      </c>
      <c r="BT97" s="740">
        <v>0</v>
      </c>
    </row>
    <row r="98" spans="2:73" ht="15.5">
      <c r="B98" s="737" t="s">
        <v>208</v>
      </c>
      <c r="C98" s="737" t="s">
        <v>744</v>
      </c>
      <c r="D98" s="737" t="s">
        <v>3</v>
      </c>
      <c r="E98" s="737" t="s">
        <v>745</v>
      </c>
      <c r="F98" s="737" t="s">
        <v>29</v>
      </c>
      <c r="G98" s="737" t="s">
        <v>746</v>
      </c>
      <c r="H98" s="737">
        <v>2014</v>
      </c>
      <c r="I98" s="636" t="s">
        <v>574</v>
      </c>
      <c r="J98" s="636" t="s">
        <v>589</v>
      </c>
      <c r="K98" s="50"/>
      <c r="L98" s="738"/>
      <c r="M98" s="739"/>
      <c r="N98" s="739"/>
      <c r="O98" s="739">
        <v>101.400269217</v>
      </c>
      <c r="P98" s="739">
        <v>101.400269217</v>
      </c>
      <c r="Q98" s="739">
        <v>101.400269217</v>
      </c>
      <c r="R98" s="739">
        <v>101.400269217</v>
      </c>
      <c r="S98" s="739">
        <v>101.400269217</v>
      </c>
      <c r="T98" s="739">
        <v>101.400269217</v>
      </c>
      <c r="U98" s="739">
        <v>101.400269217</v>
      </c>
      <c r="V98" s="739">
        <v>101.400269217</v>
      </c>
      <c r="W98" s="739">
        <v>101.400269217</v>
      </c>
      <c r="X98" s="739">
        <v>101.400269217</v>
      </c>
      <c r="Y98" s="739">
        <v>101.400269217</v>
      </c>
      <c r="Z98" s="739">
        <v>101.400269217</v>
      </c>
      <c r="AA98" s="739">
        <v>101.400269217</v>
      </c>
      <c r="AB98" s="739">
        <v>101.400269217</v>
      </c>
      <c r="AC98" s="739">
        <v>101.400269217</v>
      </c>
      <c r="AD98" s="739">
        <v>101.400269217</v>
      </c>
      <c r="AE98" s="739">
        <v>101.400269217</v>
      </c>
      <c r="AF98" s="739">
        <v>101.400269217</v>
      </c>
      <c r="AG98" s="739">
        <v>90.716896439999999</v>
      </c>
      <c r="AH98" s="739">
        <v>0</v>
      </c>
      <c r="AI98" s="739">
        <v>0</v>
      </c>
      <c r="AJ98" s="739">
        <v>0</v>
      </c>
      <c r="AK98" s="739">
        <v>0</v>
      </c>
      <c r="AL98" s="739">
        <v>0</v>
      </c>
      <c r="AM98" s="739">
        <v>0</v>
      </c>
      <c r="AN98" s="739">
        <v>0</v>
      </c>
      <c r="AO98" s="740">
        <v>0</v>
      </c>
      <c r="AP98" s="50"/>
      <c r="AQ98" s="738"/>
      <c r="AR98" s="739"/>
      <c r="AS98" s="739"/>
      <c r="AT98" s="739">
        <v>186908.60222999999</v>
      </c>
      <c r="AU98" s="739">
        <v>186908.60222999999</v>
      </c>
      <c r="AV98" s="739">
        <v>186908.60222999999</v>
      </c>
      <c r="AW98" s="739">
        <v>186908.60222999999</v>
      </c>
      <c r="AX98" s="739">
        <v>186908.60222999999</v>
      </c>
      <c r="AY98" s="739">
        <v>186908.60222999999</v>
      </c>
      <c r="AZ98" s="739">
        <v>186908.60222999999</v>
      </c>
      <c r="BA98" s="739">
        <v>186908.60222999999</v>
      </c>
      <c r="BB98" s="739">
        <v>186908.60222999999</v>
      </c>
      <c r="BC98" s="739">
        <v>186908.60222999999</v>
      </c>
      <c r="BD98" s="739">
        <v>186908.60222999999</v>
      </c>
      <c r="BE98" s="739">
        <v>186908.60222999999</v>
      </c>
      <c r="BF98" s="739">
        <v>186908.60222999999</v>
      </c>
      <c r="BG98" s="739">
        <v>186908.60222999999</v>
      </c>
      <c r="BH98" s="739">
        <v>186908.60222999999</v>
      </c>
      <c r="BI98" s="739">
        <v>186908.60222999999</v>
      </c>
      <c r="BJ98" s="739">
        <v>186908.60222999999</v>
      </c>
      <c r="BK98" s="739">
        <v>186908.60222999999</v>
      </c>
      <c r="BL98" s="739">
        <v>177354.94889999999</v>
      </c>
      <c r="BM98" s="739">
        <v>0</v>
      </c>
      <c r="BN98" s="739">
        <v>0</v>
      </c>
      <c r="BO98" s="739">
        <v>0</v>
      </c>
      <c r="BP98" s="739">
        <v>0</v>
      </c>
      <c r="BQ98" s="739">
        <v>0</v>
      </c>
      <c r="BR98" s="739">
        <v>0</v>
      </c>
      <c r="BS98" s="739">
        <v>0</v>
      </c>
      <c r="BT98" s="740">
        <v>0</v>
      </c>
      <c r="BU98" s="163"/>
    </row>
    <row r="99" spans="2:73" ht="15.5">
      <c r="B99" s="737" t="s">
        <v>208</v>
      </c>
      <c r="C99" s="737" t="s">
        <v>744</v>
      </c>
      <c r="D99" s="737" t="s">
        <v>7</v>
      </c>
      <c r="E99" s="737" t="s">
        <v>745</v>
      </c>
      <c r="F99" s="737" t="s">
        <v>29</v>
      </c>
      <c r="G99" s="737" t="s">
        <v>746</v>
      </c>
      <c r="H99" s="737">
        <v>2014</v>
      </c>
      <c r="I99" s="636" t="s">
        <v>574</v>
      </c>
      <c r="J99" s="636" t="s">
        <v>589</v>
      </c>
      <c r="K99" s="50"/>
      <c r="L99" s="738"/>
      <c r="M99" s="739"/>
      <c r="N99" s="739"/>
      <c r="O99" s="739">
        <v>22.5793395</v>
      </c>
      <c r="P99" s="739">
        <v>22.5793395</v>
      </c>
      <c r="Q99" s="739">
        <v>22.5793395</v>
      </c>
      <c r="R99" s="739">
        <v>22.5793395</v>
      </c>
      <c r="S99" s="739">
        <v>22.5793395</v>
      </c>
      <c r="T99" s="739">
        <v>22.5793395</v>
      </c>
      <c r="U99" s="739">
        <v>22.5793395</v>
      </c>
      <c r="V99" s="739">
        <v>22.5793395</v>
      </c>
      <c r="W99" s="739">
        <v>22.5793395</v>
      </c>
      <c r="X99" s="739">
        <v>22.5793395</v>
      </c>
      <c r="Y99" s="739">
        <v>22.119017679999999</v>
      </c>
      <c r="Z99" s="739">
        <v>22.119017679999999</v>
      </c>
      <c r="AA99" s="739">
        <v>21.471447699999999</v>
      </c>
      <c r="AB99" s="739">
        <v>20.823877710000001</v>
      </c>
      <c r="AC99" s="739">
        <v>20.823877710000001</v>
      </c>
      <c r="AD99" s="739">
        <v>20.823877710000001</v>
      </c>
      <c r="AE99" s="739">
        <v>20.823877710000001</v>
      </c>
      <c r="AF99" s="739">
        <v>20.823877710000001</v>
      </c>
      <c r="AG99" s="739">
        <v>7.8402077119999989</v>
      </c>
      <c r="AH99" s="739">
        <v>7.8402077119999989</v>
      </c>
      <c r="AI99" s="739">
        <v>0</v>
      </c>
      <c r="AJ99" s="739">
        <v>0</v>
      </c>
      <c r="AK99" s="739">
        <v>0</v>
      </c>
      <c r="AL99" s="739">
        <v>0</v>
      </c>
      <c r="AM99" s="739">
        <v>0</v>
      </c>
      <c r="AN99" s="739">
        <v>0</v>
      </c>
      <c r="AO99" s="740">
        <v>0</v>
      </c>
      <c r="AP99" s="50"/>
      <c r="AQ99" s="738"/>
      <c r="AR99" s="739"/>
      <c r="AS99" s="739"/>
      <c r="AT99" s="739">
        <v>149950.19099999999</v>
      </c>
      <c r="AU99" s="739">
        <v>149950.19099999999</v>
      </c>
      <c r="AV99" s="739">
        <v>149950.19099999999</v>
      </c>
      <c r="AW99" s="739">
        <v>149950.19099999999</v>
      </c>
      <c r="AX99" s="739">
        <v>149950.19099999999</v>
      </c>
      <c r="AY99" s="739">
        <v>149950.19099999999</v>
      </c>
      <c r="AZ99" s="739">
        <v>149950.19099999999</v>
      </c>
      <c r="BA99" s="739">
        <v>149950.19099999999</v>
      </c>
      <c r="BB99" s="739">
        <v>149950.19099999999</v>
      </c>
      <c r="BC99" s="739">
        <v>149950.19099999999</v>
      </c>
      <c r="BD99" s="739">
        <v>143321.58300000001</v>
      </c>
      <c r="BE99" s="739">
        <v>143321.58300000001</v>
      </c>
      <c r="BF99" s="739">
        <v>133458.59400000001</v>
      </c>
      <c r="BG99" s="739">
        <v>123595.605</v>
      </c>
      <c r="BH99" s="739">
        <v>123595.605</v>
      </c>
      <c r="BI99" s="739">
        <v>123595.605</v>
      </c>
      <c r="BJ99" s="739">
        <v>123595.605</v>
      </c>
      <c r="BK99" s="739">
        <v>123595.605</v>
      </c>
      <c r="BL99" s="739">
        <v>116439.435</v>
      </c>
      <c r="BM99" s="739">
        <v>116439.435</v>
      </c>
      <c r="BN99" s="739">
        <v>0</v>
      </c>
      <c r="BO99" s="739">
        <v>0</v>
      </c>
      <c r="BP99" s="739">
        <v>0</v>
      </c>
      <c r="BQ99" s="739">
        <v>0</v>
      </c>
      <c r="BR99" s="739">
        <v>0</v>
      </c>
      <c r="BS99" s="739">
        <v>0</v>
      </c>
      <c r="BT99" s="740">
        <v>0</v>
      </c>
      <c r="BU99" s="163"/>
    </row>
    <row r="100" spans="2:73" ht="15.5">
      <c r="B100" s="737" t="s">
        <v>208</v>
      </c>
      <c r="C100" s="737" t="s">
        <v>489</v>
      </c>
      <c r="D100" s="737" t="s">
        <v>765</v>
      </c>
      <c r="E100" s="737" t="s">
        <v>745</v>
      </c>
      <c r="F100" s="737" t="s">
        <v>489</v>
      </c>
      <c r="G100" s="737" t="s">
        <v>747</v>
      </c>
      <c r="H100" s="737">
        <v>2014</v>
      </c>
      <c r="I100" s="636" t="s">
        <v>574</v>
      </c>
      <c r="J100" s="636" t="s">
        <v>589</v>
      </c>
      <c r="K100" s="50"/>
      <c r="L100" s="738"/>
      <c r="M100" s="739"/>
      <c r="N100" s="739"/>
      <c r="O100" s="739">
        <v>253.36968239999996</v>
      </c>
      <c r="P100" s="739">
        <v>0</v>
      </c>
      <c r="Q100" s="739">
        <v>0</v>
      </c>
      <c r="R100" s="739">
        <v>0</v>
      </c>
      <c r="S100" s="739">
        <v>0</v>
      </c>
      <c r="T100" s="739">
        <v>0</v>
      </c>
      <c r="U100" s="739">
        <v>0</v>
      </c>
      <c r="V100" s="739">
        <v>0</v>
      </c>
      <c r="W100" s="739">
        <v>0</v>
      </c>
      <c r="X100" s="739">
        <v>0</v>
      </c>
      <c r="Y100" s="739">
        <v>0</v>
      </c>
      <c r="Z100" s="739">
        <v>0</v>
      </c>
      <c r="AA100" s="739">
        <v>0</v>
      </c>
      <c r="AB100" s="739">
        <v>0</v>
      </c>
      <c r="AC100" s="739">
        <v>0</v>
      </c>
      <c r="AD100" s="739">
        <v>0</v>
      </c>
      <c r="AE100" s="739">
        <v>0</v>
      </c>
      <c r="AF100" s="739">
        <v>0</v>
      </c>
      <c r="AG100" s="739">
        <v>0</v>
      </c>
      <c r="AH100" s="739">
        <v>0</v>
      </c>
      <c r="AI100" s="739">
        <v>0</v>
      </c>
      <c r="AJ100" s="739">
        <v>0</v>
      </c>
      <c r="AK100" s="739">
        <v>0</v>
      </c>
      <c r="AL100" s="739">
        <v>0</v>
      </c>
      <c r="AM100" s="739">
        <v>0</v>
      </c>
      <c r="AN100" s="739">
        <v>0</v>
      </c>
      <c r="AO100" s="740">
        <v>0</v>
      </c>
      <c r="AP100" s="50"/>
      <c r="AQ100" s="738"/>
      <c r="AR100" s="739"/>
      <c r="AS100" s="739"/>
      <c r="AT100" s="739">
        <v>0</v>
      </c>
      <c r="AU100" s="739">
        <v>0</v>
      </c>
      <c r="AV100" s="739">
        <v>0</v>
      </c>
      <c r="AW100" s="739">
        <v>0</v>
      </c>
      <c r="AX100" s="739">
        <v>0</v>
      </c>
      <c r="AY100" s="739">
        <v>0</v>
      </c>
      <c r="AZ100" s="739">
        <v>0</v>
      </c>
      <c r="BA100" s="739">
        <v>0</v>
      </c>
      <c r="BB100" s="739">
        <v>0</v>
      </c>
      <c r="BC100" s="739">
        <v>0</v>
      </c>
      <c r="BD100" s="739">
        <v>0</v>
      </c>
      <c r="BE100" s="739">
        <v>0</v>
      </c>
      <c r="BF100" s="739">
        <v>0</v>
      </c>
      <c r="BG100" s="739">
        <v>0</v>
      </c>
      <c r="BH100" s="739">
        <v>0</v>
      </c>
      <c r="BI100" s="739">
        <v>0</v>
      </c>
      <c r="BJ100" s="739">
        <v>0</v>
      </c>
      <c r="BK100" s="739">
        <v>0</v>
      </c>
      <c r="BL100" s="739">
        <v>0</v>
      </c>
      <c r="BM100" s="739">
        <v>0</v>
      </c>
      <c r="BN100" s="739">
        <v>0</v>
      </c>
      <c r="BO100" s="739">
        <v>0</v>
      </c>
      <c r="BP100" s="739">
        <v>0</v>
      </c>
      <c r="BQ100" s="739">
        <v>0</v>
      </c>
      <c r="BR100" s="739">
        <v>0</v>
      </c>
      <c r="BS100" s="739">
        <v>0</v>
      </c>
      <c r="BT100" s="740">
        <v>0</v>
      </c>
      <c r="BU100" s="163"/>
    </row>
    <row r="101" spans="2:72" ht="14.5">
      <c r="B101" s="737" t="s">
        <v>743</v>
      </c>
      <c r="C101" s="737" t="s">
        <v>748</v>
      </c>
      <c r="D101" s="737" t="s">
        <v>766</v>
      </c>
      <c r="E101" s="737" t="s">
        <v>745</v>
      </c>
      <c r="F101" s="737" t="s">
        <v>755</v>
      </c>
      <c r="G101" s="737" t="s">
        <v>747</v>
      </c>
      <c r="H101" s="737">
        <v>2014</v>
      </c>
      <c r="I101" s="636" t="s">
        <v>574</v>
      </c>
      <c r="J101" s="636" t="s">
        <v>589</v>
      </c>
      <c r="K101" s="50"/>
      <c r="L101" s="738"/>
      <c r="M101" s="739"/>
      <c r="N101" s="739"/>
      <c r="O101" s="739">
        <v>54.003920000000001</v>
      </c>
      <c r="P101" s="739">
        <v>0</v>
      </c>
      <c r="Q101" s="739">
        <v>0</v>
      </c>
      <c r="R101" s="739">
        <v>0</v>
      </c>
      <c r="S101" s="739">
        <v>0</v>
      </c>
      <c r="T101" s="739">
        <v>0</v>
      </c>
      <c r="U101" s="739">
        <v>0</v>
      </c>
      <c r="V101" s="739">
        <v>0</v>
      </c>
      <c r="W101" s="739">
        <v>0</v>
      </c>
      <c r="X101" s="739">
        <v>0</v>
      </c>
      <c r="Y101" s="739">
        <v>0</v>
      </c>
      <c r="Z101" s="739">
        <v>0</v>
      </c>
      <c r="AA101" s="739">
        <v>0</v>
      </c>
      <c r="AB101" s="739">
        <v>0</v>
      </c>
      <c r="AC101" s="739">
        <v>0</v>
      </c>
      <c r="AD101" s="739">
        <v>0</v>
      </c>
      <c r="AE101" s="739">
        <v>0</v>
      </c>
      <c r="AF101" s="739">
        <v>0</v>
      </c>
      <c r="AG101" s="739">
        <v>0</v>
      </c>
      <c r="AH101" s="739">
        <v>0</v>
      </c>
      <c r="AI101" s="739">
        <v>0</v>
      </c>
      <c r="AJ101" s="739">
        <v>0</v>
      </c>
      <c r="AK101" s="739">
        <v>0</v>
      </c>
      <c r="AL101" s="739">
        <v>0</v>
      </c>
      <c r="AM101" s="739">
        <v>0</v>
      </c>
      <c r="AN101" s="739">
        <v>0</v>
      </c>
      <c r="AO101" s="740">
        <v>0</v>
      </c>
      <c r="AP101" s="50"/>
      <c r="AQ101" s="738"/>
      <c r="AR101" s="739"/>
      <c r="AS101" s="739"/>
      <c r="AT101" s="739">
        <v>0</v>
      </c>
      <c r="AU101" s="739">
        <v>0</v>
      </c>
      <c r="AV101" s="739">
        <v>0</v>
      </c>
      <c r="AW101" s="739">
        <v>0</v>
      </c>
      <c r="AX101" s="739">
        <v>0</v>
      </c>
      <c r="AY101" s="739">
        <v>0</v>
      </c>
      <c r="AZ101" s="739">
        <v>0</v>
      </c>
      <c r="BA101" s="739">
        <v>0</v>
      </c>
      <c r="BB101" s="739">
        <v>0</v>
      </c>
      <c r="BC101" s="739">
        <v>0</v>
      </c>
      <c r="BD101" s="739">
        <v>0</v>
      </c>
      <c r="BE101" s="739">
        <v>0</v>
      </c>
      <c r="BF101" s="739">
        <v>0</v>
      </c>
      <c r="BG101" s="739">
        <v>0</v>
      </c>
      <c r="BH101" s="739">
        <v>0</v>
      </c>
      <c r="BI101" s="739">
        <v>0</v>
      </c>
      <c r="BJ101" s="739">
        <v>0</v>
      </c>
      <c r="BK101" s="739">
        <v>0</v>
      </c>
      <c r="BL101" s="739">
        <v>0</v>
      </c>
      <c r="BM101" s="739">
        <v>0</v>
      </c>
      <c r="BN101" s="739">
        <v>0</v>
      </c>
      <c r="BO101" s="739">
        <v>0</v>
      </c>
      <c r="BP101" s="739">
        <v>0</v>
      </c>
      <c r="BQ101" s="739">
        <v>0</v>
      </c>
      <c r="BR101" s="739">
        <v>0</v>
      </c>
      <c r="BS101" s="739">
        <v>0</v>
      </c>
      <c r="BT101" s="740">
        <v>0</v>
      </c>
    </row>
    <row r="102" spans="2:73" ht="15.5">
      <c r="B102" s="737" t="s">
        <v>743</v>
      </c>
      <c r="C102" s="737" t="s">
        <v>744</v>
      </c>
      <c r="D102" s="737" t="s">
        <v>42</v>
      </c>
      <c r="E102" s="737" t="s">
        <v>745</v>
      </c>
      <c r="F102" s="737" t="s">
        <v>29</v>
      </c>
      <c r="G102" s="737" t="s">
        <v>747</v>
      </c>
      <c r="H102" s="737">
        <v>2014</v>
      </c>
      <c r="I102" s="636" t="s">
        <v>574</v>
      </c>
      <c r="J102" s="636" t="s">
        <v>589</v>
      </c>
      <c r="K102" s="50"/>
      <c r="L102" s="738"/>
      <c r="M102" s="739"/>
      <c r="N102" s="739"/>
      <c r="O102" s="739">
        <v>39.141269999999999</v>
      </c>
      <c r="P102" s="739">
        <v>0</v>
      </c>
      <c r="Q102" s="739">
        <v>0</v>
      </c>
      <c r="R102" s="739">
        <v>0</v>
      </c>
      <c r="S102" s="739">
        <v>0</v>
      </c>
      <c r="T102" s="739">
        <v>0</v>
      </c>
      <c r="U102" s="739">
        <v>0</v>
      </c>
      <c r="V102" s="739">
        <v>0</v>
      </c>
      <c r="W102" s="739">
        <v>0</v>
      </c>
      <c r="X102" s="739">
        <v>0</v>
      </c>
      <c r="Y102" s="739">
        <v>0</v>
      </c>
      <c r="Z102" s="739">
        <v>0</v>
      </c>
      <c r="AA102" s="739">
        <v>0</v>
      </c>
      <c r="AB102" s="739">
        <v>0</v>
      </c>
      <c r="AC102" s="739">
        <v>0</v>
      </c>
      <c r="AD102" s="739">
        <v>0</v>
      </c>
      <c r="AE102" s="739">
        <v>0</v>
      </c>
      <c r="AF102" s="739">
        <v>0</v>
      </c>
      <c r="AG102" s="739">
        <v>0</v>
      </c>
      <c r="AH102" s="739">
        <v>0</v>
      </c>
      <c r="AI102" s="739">
        <v>0</v>
      </c>
      <c r="AJ102" s="739">
        <v>0</v>
      </c>
      <c r="AK102" s="739">
        <v>0</v>
      </c>
      <c r="AL102" s="739">
        <v>0</v>
      </c>
      <c r="AM102" s="739">
        <v>0</v>
      </c>
      <c r="AN102" s="739">
        <v>0</v>
      </c>
      <c r="AO102" s="740">
        <v>0</v>
      </c>
      <c r="AP102" s="50"/>
      <c r="AQ102" s="738"/>
      <c r="AR102" s="739"/>
      <c r="AS102" s="739"/>
      <c r="AT102" s="739">
        <v>0</v>
      </c>
      <c r="AU102" s="739">
        <v>0</v>
      </c>
      <c r="AV102" s="739">
        <v>0</v>
      </c>
      <c r="AW102" s="739">
        <v>0</v>
      </c>
      <c r="AX102" s="739">
        <v>0</v>
      </c>
      <c r="AY102" s="739">
        <v>0</v>
      </c>
      <c r="AZ102" s="739">
        <v>0</v>
      </c>
      <c r="BA102" s="739">
        <v>0</v>
      </c>
      <c r="BB102" s="739">
        <v>0</v>
      </c>
      <c r="BC102" s="739">
        <v>0</v>
      </c>
      <c r="BD102" s="739">
        <v>0</v>
      </c>
      <c r="BE102" s="739">
        <v>0</v>
      </c>
      <c r="BF102" s="739">
        <v>0</v>
      </c>
      <c r="BG102" s="739">
        <v>0</v>
      </c>
      <c r="BH102" s="739">
        <v>0</v>
      </c>
      <c r="BI102" s="739">
        <v>0</v>
      </c>
      <c r="BJ102" s="739">
        <v>0</v>
      </c>
      <c r="BK102" s="739">
        <v>0</v>
      </c>
      <c r="BL102" s="739">
        <v>0</v>
      </c>
      <c r="BM102" s="739">
        <v>0</v>
      </c>
      <c r="BN102" s="739">
        <v>0</v>
      </c>
      <c r="BO102" s="739">
        <v>0</v>
      </c>
      <c r="BP102" s="739">
        <v>0</v>
      </c>
      <c r="BQ102" s="739">
        <v>0</v>
      </c>
      <c r="BR102" s="739">
        <v>0</v>
      </c>
      <c r="BS102" s="739">
        <v>0</v>
      </c>
      <c r="BT102" s="740">
        <v>0</v>
      </c>
      <c r="BU102" s="163"/>
    </row>
    <row r="103" spans="2:73" ht="15.5">
      <c r="B103" s="737" t="s">
        <v>743</v>
      </c>
      <c r="C103" s="737" t="s">
        <v>751</v>
      </c>
      <c r="D103" s="737" t="s">
        <v>9</v>
      </c>
      <c r="E103" s="737" t="s">
        <v>745</v>
      </c>
      <c r="F103" s="737" t="s">
        <v>751</v>
      </c>
      <c r="G103" s="737" t="s">
        <v>747</v>
      </c>
      <c r="H103" s="737">
        <v>2014</v>
      </c>
      <c r="I103" s="636" t="s">
        <v>574</v>
      </c>
      <c r="J103" s="636" t="s">
        <v>589</v>
      </c>
      <c r="K103" s="50"/>
      <c r="L103" s="738"/>
      <c r="M103" s="739"/>
      <c r="N103" s="739"/>
      <c r="O103" s="739">
        <v>369.5301</v>
      </c>
      <c r="P103" s="739">
        <v>0</v>
      </c>
      <c r="Q103" s="739">
        <v>0</v>
      </c>
      <c r="R103" s="739">
        <v>0</v>
      </c>
      <c r="S103" s="739">
        <v>0</v>
      </c>
      <c r="T103" s="739">
        <v>0</v>
      </c>
      <c r="U103" s="739">
        <v>0</v>
      </c>
      <c r="V103" s="739">
        <v>0</v>
      </c>
      <c r="W103" s="739">
        <v>0</v>
      </c>
      <c r="X103" s="739">
        <v>0</v>
      </c>
      <c r="Y103" s="739">
        <v>0</v>
      </c>
      <c r="Z103" s="739">
        <v>0</v>
      </c>
      <c r="AA103" s="739">
        <v>0</v>
      </c>
      <c r="AB103" s="739">
        <v>0</v>
      </c>
      <c r="AC103" s="739">
        <v>0</v>
      </c>
      <c r="AD103" s="739">
        <v>0</v>
      </c>
      <c r="AE103" s="739">
        <v>0</v>
      </c>
      <c r="AF103" s="739">
        <v>0</v>
      </c>
      <c r="AG103" s="739">
        <v>0</v>
      </c>
      <c r="AH103" s="739">
        <v>0</v>
      </c>
      <c r="AI103" s="739">
        <v>0</v>
      </c>
      <c r="AJ103" s="739">
        <v>0</v>
      </c>
      <c r="AK103" s="739">
        <v>0</v>
      </c>
      <c r="AL103" s="739">
        <v>0</v>
      </c>
      <c r="AM103" s="739">
        <v>0</v>
      </c>
      <c r="AN103" s="739">
        <v>0</v>
      </c>
      <c r="AO103" s="740">
        <v>0</v>
      </c>
      <c r="AP103" s="50"/>
      <c r="AQ103" s="738"/>
      <c r="AR103" s="739"/>
      <c r="AS103" s="739"/>
      <c r="AT103" s="739">
        <v>0</v>
      </c>
      <c r="AU103" s="739">
        <v>0</v>
      </c>
      <c r="AV103" s="739">
        <v>0</v>
      </c>
      <c r="AW103" s="739">
        <v>0</v>
      </c>
      <c r="AX103" s="739">
        <v>0</v>
      </c>
      <c r="AY103" s="739">
        <v>0</v>
      </c>
      <c r="AZ103" s="739">
        <v>0</v>
      </c>
      <c r="BA103" s="739">
        <v>0</v>
      </c>
      <c r="BB103" s="739">
        <v>0</v>
      </c>
      <c r="BC103" s="739">
        <v>0</v>
      </c>
      <c r="BD103" s="739">
        <v>0</v>
      </c>
      <c r="BE103" s="739">
        <v>0</v>
      </c>
      <c r="BF103" s="739">
        <v>0</v>
      </c>
      <c r="BG103" s="739">
        <v>0</v>
      </c>
      <c r="BH103" s="739">
        <v>0</v>
      </c>
      <c r="BI103" s="739">
        <v>0</v>
      </c>
      <c r="BJ103" s="739">
        <v>0</v>
      </c>
      <c r="BK103" s="739">
        <v>0</v>
      </c>
      <c r="BL103" s="739">
        <v>0</v>
      </c>
      <c r="BM103" s="739">
        <v>0</v>
      </c>
      <c r="BN103" s="739">
        <v>0</v>
      </c>
      <c r="BO103" s="739">
        <v>0</v>
      </c>
      <c r="BP103" s="739">
        <v>0</v>
      </c>
      <c r="BQ103" s="739">
        <v>0</v>
      </c>
      <c r="BR103" s="739">
        <v>0</v>
      </c>
      <c r="BS103" s="739">
        <v>0</v>
      </c>
      <c r="BT103" s="740">
        <v>0</v>
      </c>
      <c r="BU103" s="163"/>
    </row>
    <row r="104" spans="2:73" ht="15.5">
      <c r="B104" s="737"/>
      <c r="C104" s="737"/>
      <c r="D104" s="737" t="s">
        <v>97</v>
      </c>
      <c r="E104" s="737" t="s">
        <v>745</v>
      </c>
      <c r="F104" s="737"/>
      <c r="G104" s="737"/>
      <c r="H104" s="737">
        <v>2015</v>
      </c>
      <c r="I104" s="636" t="s">
        <v>575</v>
      </c>
      <c r="J104" s="636" t="s">
        <v>589</v>
      </c>
      <c r="K104" s="50"/>
      <c r="L104" s="738"/>
      <c r="M104" s="739"/>
      <c r="N104" s="739"/>
      <c r="O104" s="739"/>
      <c r="P104" s="739">
        <v>2</v>
      </c>
      <c r="Q104" s="739">
        <v>2</v>
      </c>
      <c r="R104" s="739">
        <v>2</v>
      </c>
      <c r="S104" s="739">
        <v>2</v>
      </c>
      <c r="T104" s="739">
        <v>1</v>
      </c>
      <c r="U104" s="739">
        <v>0</v>
      </c>
      <c r="V104" s="739">
        <v>0</v>
      </c>
      <c r="W104" s="739">
        <v>0</v>
      </c>
      <c r="X104" s="739">
        <v>0</v>
      </c>
      <c r="Y104" s="739">
        <v>0</v>
      </c>
      <c r="Z104" s="739">
        <v>0</v>
      </c>
      <c r="AA104" s="739">
        <v>0</v>
      </c>
      <c r="AB104" s="739">
        <v>0</v>
      </c>
      <c r="AC104" s="739">
        <v>0</v>
      </c>
      <c r="AD104" s="739">
        <v>0</v>
      </c>
      <c r="AE104" s="739">
        <v>0</v>
      </c>
      <c r="AF104" s="739">
        <v>0</v>
      </c>
      <c r="AG104" s="739">
        <v>0</v>
      </c>
      <c r="AH104" s="739">
        <v>0</v>
      </c>
      <c r="AI104" s="739">
        <v>0</v>
      </c>
      <c r="AJ104" s="739">
        <v>0</v>
      </c>
      <c r="AK104" s="739">
        <v>0</v>
      </c>
      <c r="AL104" s="739">
        <v>0</v>
      </c>
      <c r="AM104" s="739">
        <v>0</v>
      </c>
      <c r="AN104" s="739">
        <v>0</v>
      </c>
      <c r="AO104" s="740">
        <v>0</v>
      </c>
      <c r="AP104" s="50"/>
      <c r="AQ104" s="738"/>
      <c r="AR104" s="739"/>
      <c r="AS104" s="739"/>
      <c r="AT104" s="739"/>
      <c r="AU104" s="739">
        <v>13955</v>
      </c>
      <c r="AV104" s="739">
        <v>13955</v>
      </c>
      <c r="AW104" s="739">
        <v>13955</v>
      </c>
      <c r="AX104" s="739">
        <v>13955</v>
      </c>
      <c r="AY104" s="739">
        <v>6512</v>
      </c>
      <c r="AZ104" s="739">
        <v>0</v>
      </c>
      <c r="BA104" s="739">
        <v>0</v>
      </c>
      <c r="BB104" s="739">
        <v>0</v>
      </c>
      <c r="BC104" s="739">
        <v>0</v>
      </c>
      <c r="BD104" s="739">
        <v>0</v>
      </c>
      <c r="BE104" s="739">
        <v>0</v>
      </c>
      <c r="BF104" s="739">
        <v>0</v>
      </c>
      <c r="BG104" s="739">
        <v>0</v>
      </c>
      <c r="BH104" s="739">
        <v>0</v>
      </c>
      <c r="BI104" s="739">
        <v>0</v>
      </c>
      <c r="BJ104" s="739">
        <v>0</v>
      </c>
      <c r="BK104" s="739">
        <v>0</v>
      </c>
      <c r="BL104" s="739">
        <v>0</v>
      </c>
      <c r="BM104" s="739">
        <v>0</v>
      </c>
      <c r="BN104" s="739">
        <v>0</v>
      </c>
      <c r="BO104" s="739">
        <v>0</v>
      </c>
      <c r="BP104" s="739">
        <v>0</v>
      </c>
      <c r="BQ104" s="739">
        <v>0</v>
      </c>
      <c r="BR104" s="739">
        <v>0</v>
      </c>
      <c r="BS104" s="739">
        <v>0</v>
      </c>
      <c r="BT104" s="740">
        <v>0</v>
      </c>
      <c r="BU104" s="163"/>
    </row>
    <row r="105" spans="2:73" ht="15.5">
      <c r="B105" s="737"/>
      <c r="C105" s="737"/>
      <c r="D105" s="737" t="s">
        <v>95</v>
      </c>
      <c r="E105" s="737" t="s">
        <v>745</v>
      </c>
      <c r="F105" s="737"/>
      <c r="G105" s="737"/>
      <c r="H105" s="737">
        <v>2015</v>
      </c>
      <c r="I105" s="636" t="s">
        <v>575</v>
      </c>
      <c r="J105" s="636" t="s">
        <v>589</v>
      </c>
      <c r="K105" s="50"/>
      <c r="L105" s="738"/>
      <c r="M105" s="739"/>
      <c r="N105" s="739"/>
      <c r="O105" s="739"/>
      <c r="P105" s="739">
        <v>19</v>
      </c>
      <c r="Q105" s="739">
        <v>19</v>
      </c>
      <c r="R105" s="739">
        <v>19</v>
      </c>
      <c r="S105" s="739">
        <v>19</v>
      </c>
      <c r="T105" s="739">
        <v>19</v>
      </c>
      <c r="U105" s="739">
        <v>19</v>
      </c>
      <c r="V105" s="739">
        <v>19</v>
      </c>
      <c r="W105" s="739">
        <v>19</v>
      </c>
      <c r="X105" s="739">
        <v>19</v>
      </c>
      <c r="Y105" s="739">
        <v>19</v>
      </c>
      <c r="Z105" s="739">
        <v>17</v>
      </c>
      <c r="AA105" s="739">
        <v>17</v>
      </c>
      <c r="AB105" s="739">
        <v>17</v>
      </c>
      <c r="AC105" s="739">
        <v>17</v>
      </c>
      <c r="AD105" s="739">
        <v>17</v>
      </c>
      <c r="AE105" s="739">
        <v>17</v>
      </c>
      <c r="AF105" s="739">
        <v>6</v>
      </c>
      <c r="AG105" s="739">
        <v>6</v>
      </c>
      <c r="AH105" s="739">
        <v>6</v>
      </c>
      <c r="AI105" s="739">
        <v>6</v>
      </c>
      <c r="AJ105" s="739">
        <v>0</v>
      </c>
      <c r="AK105" s="739">
        <v>0</v>
      </c>
      <c r="AL105" s="739">
        <v>0</v>
      </c>
      <c r="AM105" s="739">
        <v>0</v>
      </c>
      <c r="AN105" s="739">
        <v>0</v>
      </c>
      <c r="AO105" s="740">
        <v>0</v>
      </c>
      <c r="AP105" s="50"/>
      <c r="AQ105" s="738"/>
      <c r="AR105" s="739"/>
      <c r="AS105" s="739"/>
      <c r="AT105" s="739"/>
      <c r="AU105" s="739">
        <v>290873</v>
      </c>
      <c r="AV105" s="739">
        <v>288223</v>
      </c>
      <c r="AW105" s="739">
        <v>288223</v>
      </c>
      <c r="AX105" s="739">
        <v>288223</v>
      </c>
      <c r="AY105" s="739">
        <v>288223</v>
      </c>
      <c r="AZ105" s="739">
        <v>288223</v>
      </c>
      <c r="BA105" s="739">
        <v>288223</v>
      </c>
      <c r="BB105" s="739">
        <v>288160</v>
      </c>
      <c r="BC105" s="739">
        <v>288160</v>
      </c>
      <c r="BD105" s="739">
        <v>288160</v>
      </c>
      <c r="BE105" s="739">
        <v>265795</v>
      </c>
      <c r="BF105" s="739">
        <v>264829</v>
      </c>
      <c r="BG105" s="739">
        <v>264829</v>
      </c>
      <c r="BH105" s="739">
        <v>263913</v>
      </c>
      <c r="BI105" s="739">
        <v>263913</v>
      </c>
      <c r="BJ105" s="739">
        <v>263799</v>
      </c>
      <c r="BK105" s="739">
        <v>98600</v>
      </c>
      <c r="BL105" s="739">
        <v>98600</v>
      </c>
      <c r="BM105" s="739">
        <v>98600</v>
      </c>
      <c r="BN105" s="739">
        <v>98600</v>
      </c>
      <c r="BO105" s="739">
        <v>0</v>
      </c>
      <c r="BP105" s="739">
        <v>0</v>
      </c>
      <c r="BQ105" s="739">
        <v>0</v>
      </c>
      <c r="BR105" s="739">
        <v>0</v>
      </c>
      <c r="BS105" s="739">
        <v>0</v>
      </c>
      <c r="BT105" s="740">
        <v>0</v>
      </c>
      <c r="BU105" s="163"/>
    </row>
    <row r="106" spans="2:73" ht="15.5">
      <c r="B106" s="737"/>
      <c r="C106" s="737"/>
      <c r="D106" s="737" t="s">
        <v>96</v>
      </c>
      <c r="E106" s="737" t="s">
        <v>745</v>
      </c>
      <c r="F106" s="737"/>
      <c r="G106" s="737"/>
      <c r="H106" s="737">
        <v>2015</v>
      </c>
      <c r="I106" s="636" t="s">
        <v>575</v>
      </c>
      <c r="J106" s="636" t="s">
        <v>589</v>
      </c>
      <c r="K106" s="50"/>
      <c r="L106" s="738"/>
      <c r="M106" s="739"/>
      <c r="N106" s="739"/>
      <c r="O106" s="739"/>
      <c r="P106" s="739">
        <v>36</v>
      </c>
      <c r="Q106" s="739">
        <v>36</v>
      </c>
      <c r="R106" s="739">
        <v>36</v>
      </c>
      <c r="S106" s="739">
        <v>36</v>
      </c>
      <c r="T106" s="739">
        <v>36</v>
      </c>
      <c r="U106" s="739">
        <v>36</v>
      </c>
      <c r="V106" s="739">
        <v>36</v>
      </c>
      <c r="W106" s="739">
        <v>36</v>
      </c>
      <c r="X106" s="739">
        <v>36</v>
      </c>
      <c r="Y106" s="739">
        <v>36</v>
      </c>
      <c r="Z106" s="739">
        <v>30</v>
      </c>
      <c r="AA106" s="739">
        <v>29</v>
      </c>
      <c r="AB106" s="739">
        <v>29</v>
      </c>
      <c r="AC106" s="739">
        <v>28</v>
      </c>
      <c r="AD106" s="739">
        <v>28</v>
      </c>
      <c r="AE106" s="739">
        <v>28</v>
      </c>
      <c r="AF106" s="739">
        <v>10</v>
      </c>
      <c r="AG106" s="739">
        <v>10</v>
      </c>
      <c r="AH106" s="739">
        <v>10</v>
      </c>
      <c r="AI106" s="739">
        <v>10</v>
      </c>
      <c r="AJ106" s="739">
        <v>0</v>
      </c>
      <c r="AK106" s="739">
        <v>0</v>
      </c>
      <c r="AL106" s="739">
        <v>0</v>
      </c>
      <c r="AM106" s="739">
        <v>0</v>
      </c>
      <c r="AN106" s="739">
        <v>0</v>
      </c>
      <c r="AO106" s="740">
        <v>0</v>
      </c>
      <c r="AP106" s="50"/>
      <c r="AQ106" s="738"/>
      <c r="AR106" s="739"/>
      <c r="AS106" s="739"/>
      <c r="AT106" s="739"/>
      <c r="AU106" s="739">
        <v>537244</v>
      </c>
      <c r="AV106" s="739">
        <v>527696</v>
      </c>
      <c r="AW106" s="739">
        <v>527696</v>
      </c>
      <c r="AX106" s="739">
        <v>527696</v>
      </c>
      <c r="AY106" s="739">
        <v>527696</v>
      </c>
      <c r="AZ106" s="739">
        <v>527696</v>
      </c>
      <c r="BA106" s="739">
        <v>527696</v>
      </c>
      <c r="BB106" s="739">
        <v>527419</v>
      </c>
      <c r="BC106" s="739">
        <v>527419</v>
      </c>
      <c r="BD106" s="739">
        <v>527419</v>
      </c>
      <c r="BE106" s="739">
        <v>486356</v>
      </c>
      <c r="BF106" s="739">
        <v>461314</v>
      </c>
      <c r="BG106" s="739">
        <v>461314</v>
      </c>
      <c r="BH106" s="739">
        <v>451392</v>
      </c>
      <c r="BI106" s="739">
        <v>451392</v>
      </c>
      <c r="BJ106" s="739">
        <v>450339</v>
      </c>
      <c r="BK106" s="739">
        <v>166834</v>
      </c>
      <c r="BL106" s="739">
        <v>166834</v>
      </c>
      <c r="BM106" s="739">
        <v>166834</v>
      </c>
      <c r="BN106" s="739">
        <v>166834</v>
      </c>
      <c r="BO106" s="739">
        <v>0</v>
      </c>
      <c r="BP106" s="739">
        <v>0</v>
      </c>
      <c r="BQ106" s="739">
        <v>0</v>
      </c>
      <c r="BR106" s="739">
        <v>0</v>
      </c>
      <c r="BS106" s="739">
        <v>0</v>
      </c>
      <c r="BT106" s="740">
        <v>0</v>
      </c>
      <c r="BU106" s="163"/>
    </row>
    <row r="107" spans="2:73" ht="15.5">
      <c r="B107" s="737"/>
      <c r="C107" s="737"/>
      <c r="D107" s="737" t="s">
        <v>676</v>
      </c>
      <c r="E107" s="737" t="s">
        <v>745</v>
      </c>
      <c r="F107" s="737"/>
      <c r="G107" s="737"/>
      <c r="H107" s="737">
        <v>2015</v>
      </c>
      <c r="I107" s="636" t="s">
        <v>575</v>
      </c>
      <c r="J107" s="636" t="s">
        <v>589</v>
      </c>
      <c r="K107" s="50"/>
      <c r="L107" s="738"/>
      <c r="M107" s="739"/>
      <c r="N107" s="739"/>
      <c r="O107" s="739"/>
      <c r="P107" s="739">
        <v>165</v>
      </c>
      <c r="Q107" s="739">
        <v>165</v>
      </c>
      <c r="R107" s="739">
        <v>165</v>
      </c>
      <c r="S107" s="739">
        <v>165</v>
      </c>
      <c r="T107" s="739">
        <v>165</v>
      </c>
      <c r="U107" s="739">
        <v>165</v>
      </c>
      <c r="V107" s="739">
        <v>165</v>
      </c>
      <c r="W107" s="739">
        <v>165</v>
      </c>
      <c r="X107" s="739">
        <v>165</v>
      </c>
      <c r="Y107" s="739">
        <v>165</v>
      </c>
      <c r="Z107" s="739">
        <v>165</v>
      </c>
      <c r="AA107" s="739">
        <v>165</v>
      </c>
      <c r="AB107" s="739">
        <v>165</v>
      </c>
      <c r="AC107" s="739">
        <v>165</v>
      </c>
      <c r="AD107" s="739">
        <v>165</v>
      </c>
      <c r="AE107" s="739">
        <v>165</v>
      </c>
      <c r="AF107" s="739">
        <v>165</v>
      </c>
      <c r="AG107" s="739">
        <v>165</v>
      </c>
      <c r="AH107" s="739">
        <v>151</v>
      </c>
      <c r="AI107" s="739">
        <v>0</v>
      </c>
      <c r="AJ107" s="739">
        <v>0</v>
      </c>
      <c r="AK107" s="739">
        <v>0</v>
      </c>
      <c r="AL107" s="739">
        <v>0</v>
      </c>
      <c r="AM107" s="739">
        <v>0</v>
      </c>
      <c r="AN107" s="739">
        <v>0</v>
      </c>
      <c r="AO107" s="740">
        <v>0</v>
      </c>
      <c r="AP107" s="50"/>
      <c r="AQ107" s="738"/>
      <c r="AR107" s="739"/>
      <c r="AS107" s="739"/>
      <c r="AT107" s="739"/>
      <c r="AU107" s="739">
        <v>316186</v>
      </c>
      <c r="AV107" s="739">
        <v>316186</v>
      </c>
      <c r="AW107" s="739">
        <v>316186</v>
      </c>
      <c r="AX107" s="739">
        <v>316186</v>
      </c>
      <c r="AY107" s="739">
        <v>316186</v>
      </c>
      <c r="AZ107" s="739">
        <v>316186</v>
      </c>
      <c r="BA107" s="739">
        <v>316186</v>
      </c>
      <c r="BB107" s="739">
        <v>316186</v>
      </c>
      <c r="BC107" s="739">
        <v>316186</v>
      </c>
      <c r="BD107" s="739">
        <v>316186</v>
      </c>
      <c r="BE107" s="739">
        <v>316186</v>
      </c>
      <c r="BF107" s="739">
        <v>316186</v>
      </c>
      <c r="BG107" s="739">
        <v>316186</v>
      </c>
      <c r="BH107" s="739">
        <v>316186</v>
      </c>
      <c r="BI107" s="739">
        <v>316186</v>
      </c>
      <c r="BJ107" s="739">
        <v>316186</v>
      </c>
      <c r="BK107" s="739">
        <v>316186</v>
      </c>
      <c r="BL107" s="739">
        <v>316186</v>
      </c>
      <c r="BM107" s="739">
        <v>303838</v>
      </c>
      <c r="BN107" s="739">
        <v>0</v>
      </c>
      <c r="BO107" s="739">
        <v>0</v>
      </c>
      <c r="BP107" s="739">
        <v>0</v>
      </c>
      <c r="BQ107" s="739">
        <v>0</v>
      </c>
      <c r="BR107" s="739">
        <v>0</v>
      </c>
      <c r="BS107" s="739">
        <v>0</v>
      </c>
      <c r="BT107" s="740">
        <v>0</v>
      </c>
      <c r="BU107" s="163"/>
    </row>
    <row r="108" spans="2:73" ht="15.5">
      <c r="B108" s="737"/>
      <c r="C108" s="737"/>
      <c r="D108" s="737" t="s">
        <v>100</v>
      </c>
      <c r="E108" s="737" t="s">
        <v>745</v>
      </c>
      <c r="F108" s="737"/>
      <c r="G108" s="737"/>
      <c r="H108" s="737">
        <v>2015</v>
      </c>
      <c r="I108" s="636" t="s">
        <v>575</v>
      </c>
      <c r="J108" s="636" t="s">
        <v>589</v>
      </c>
      <c r="K108" s="50"/>
      <c r="L108" s="738"/>
      <c r="M108" s="739"/>
      <c r="N108" s="739"/>
      <c r="O108" s="739"/>
      <c r="P108" s="739">
        <v>545</v>
      </c>
      <c r="Q108" s="739">
        <v>545</v>
      </c>
      <c r="R108" s="739">
        <v>525</v>
      </c>
      <c r="S108" s="739">
        <v>524</v>
      </c>
      <c r="T108" s="739">
        <v>524</v>
      </c>
      <c r="U108" s="739">
        <v>456</v>
      </c>
      <c r="V108" s="739">
        <v>448</v>
      </c>
      <c r="W108" s="739">
        <v>448</v>
      </c>
      <c r="X108" s="739">
        <v>445</v>
      </c>
      <c r="Y108" s="739">
        <v>417</v>
      </c>
      <c r="Z108" s="739">
        <v>347</v>
      </c>
      <c r="AA108" s="739">
        <v>346</v>
      </c>
      <c r="AB108" s="739">
        <v>331</v>
      </c>
      <c r="AC108" s="739">
        <v>326</v>
      </c>
      <c r="AD108" s="739">
        <v>326</v>
      </c>
      <c r="AE108" s="739">
        <v>236</v>
      </c>
      <c r="AF108" s="739">
        <v>37</v>
      </c>
      <c r="AG108" s="739">
        <v>37</v>
      </c>
      <c r="AH108" s="739">
        <v>37</v>
      </c>
      <c r="AI108" s="739">
        <v>37</v>
      </c>
      <c r="AJ108" s="739">
        <v>0</v>
      </c>
      <c r="AK108" s="739">
        <v>0</v>
      </c>
      <c r="AL108" s="739">
        <v>0</v>
      </c>
      <c r="AM108" s="739">
        <v>0</v>
      </c>
      <c r="AN108" s="739">
        <v>0</v>
      </c>
      <c r="AO108" s="740">
        <v>0</v>
      </c>
      <c r="AP108" s="50"/>
      <c r="AQ108" s="738"/>
      <c r="AR108" s="739"/>
      <c r="AS108" s="739"/>
      <c r="AT108" s="739"/>
      <c r="AU108" s="739">
        <v>4647879</v>
      </c>
      <c r="AV108" s="739">
        <v>4647879</v>
      </c>
      <c r="AW108" s="739">
        <v>4583665</v>
      </c>
      <c r="AX108" s="739">
        <v>4583558</v>
      </c>
      <c r="AY108" s="739">
        <v>4583558</v>
      </c>
      <c r="AZ108" s="739">
        <v>4359005</v>
      </c>
      <c r="BA108" s="739">
        <v>4302487</v>
      </c>
      <c r="BB108" s="739">
        <v>4302487</v>
      </c>
      <c r="BC108" s="739">
        <v>4266744</v>
      </c>
      <c r="BD108" s="739">
        <v>4071369</v>
      </c>
      <c r="BE108" s="739">
        <v>3522471</v>
      </c>
      <c r="BF108" s="739">
        <v>3444711</v>
      </c>
      <c r="BG108" s="739">
        <v>2614208</v>
      </c>
      <c r="BH108" s="739">
        <v>2598536</v>
      </c>
      <c r="BI108" s="739">
        <v>2598536</v>
      </c>
      <c r="BJ108" s="739">
        <v>1820130</v>
      </c>
      <c r="BK108" s="739">
        <v>99469</v>
      </c>
      <c r="BL108" s="739">
        <v>99469</v>
      </c>
      <c r="BM108" s="739">
        <v>99469</v>
      </c>
      <c r="BN108" s="739">
        <v>99469</v>
      </c>
      <c r="BO108" s="739">
        <v>0</v>
      </c>
      <c r="BP108" s="739">
        <v>0</v>
      </c>
      <c r="BQ108" s="739">
        <v>0</v>
      </c>
      <c r="BR108" s="739">
        <v>0</v>
      </c>
      <c r="BS108" s="739">
        <v>0</v>
      </c>
      <c r="BT108" s="740">
        <v>0</v>
      </c>
      <c r="BU108" s="163"/>
    </row>
    <row r="109" spans="2:73" ht="15.5">
      <c r="B109" s="737"/>
      <c r="C109" s="737"/>
      <c r="D109" s="737" t="s">
        <v>101</v>
      </c>
      <c r="E109" s="737" t="s">
        <v>745</v>
      </c>
      <c r="F109" s="737"/>
      <c r="G109" s="737"/>
      <c r="H109" s="737">
        <v>2015</v>
      </c>
      <c r="I109" s="636" t="s">
        <v>575</v>
      </c>
      <c r="J109" s="636" t="s">
        <v>589</v>
      </c>
      <c r="K109" s="50"/>
      <c r="L109" s="738"/>
      <c r="M109" s="739"/>
      <c r="N109" s="739"/>
      <c r="O109" s="739"/>
      <c r="P109" s="739">
        <v>5</v>
      </c>
      <c r="Q109" s="739">
        <v>5</v>
      </c>
      <c r="R109" s="739">
        <v>2</v>
      </c>
      <c r="S109" s="739">
        <v>2</v>
      </c>
      <c r="T109" s="739">
        <v>2</v>
      </c>
      <c r="U109" s="739">
        <v>2</v>
      </c>
      <c r="V109" s="739">
        <v>2</v>
      </c>
      <c r="W109" s="739">
        <v>2</v>
      </c>
      <c r="X109" s="739">
        <v>2</v>
      </c>
      <c r="Y109" s="739">
        <v>2</v>
      </c>
      <c r="Z109" s="739">
        <v>2</v>
      </c>
      <c r="AA109" s="739">
        <v>1</v>
      </c>
      <c r="AB109" s="739">
        <v>0</v>
      </c>
      <c r="AC109" s="739">
        <v>0</v>
      </c>
      <c r="AD109" s="739">
        <v>0</v>
      </c>
      <c r="AE109" s="739">
        <v>0</v>
      </c>
      <c r="AF109" s="739">
        <v>0</v>
      </c>
      <c r="AG109" s="739">
        <v>0</v>
      </c>
      <c r="AH109" s="739">
        <v>0</v>
      </c>
      <c r="AI109" s="739">
        <v>0</v>
      </c>
      <c r="AJ109" s="739">
        <v>0</v>
      </c>
      <c r="AK109" s="739">
        <v>0</v>
      </c>
      <c r="AL109" s="739">
        <v>0</v>
      </c>
      <c r="AM109" s="739">
        <v>0</v>
      </c>
      <c r="AN109" s="739">
        <v>0</v>
      </c>
      <c r="AO109" s="740">
        <v>0</v>
      </c>
      <c r="AP109" s="50"/>
      <c r="AQ109" s="738"/>
      <c r="AR109" s="739"/>
      <c r="AS109" s="739"/>
      <c r="AT109" s="739"/>
      <c r="AU109" s="739">
        <v>19224</v>
      </c>
      <c r="AV109" s="739">
        <v>18917</v>
      </c>
      <c r="AW109" s="739">
        <v>9456</v>
      </c>
      <c r="AX109" s="739">
        <v>9456</v>
      </c>
      <c r="AY109" s="739">
        <v>9456</v>
      </c>
      <c r="AZ109" s="739">
        <v>9456</v>
      </c>
      <c r="BA109" s="739">
        <v>9456</v>
      </c>
      <c r="BB109" s="739">
        <v>9456</v>
      </c>
      <c r="BC109" s="739">
        <v>9456</v>
      </c>
      <c r="BD109" s="739">
        <v>9456</v>
      </c>
      <c r="BE109" s="739">
        <v>9456</v>
      </c>
      <c r="BF109" s="739">
        <v>5286</v>
      </c>
      <c r="BG109" s="739">
        <v>0</v>
      </c>
      <c r="BH109" s="739">
        <v>0</v>
      </c>
      <c r="BI109" s="739">
        <v>0</v>
      </c>
      <c r="BJ109" s="739">
        <v>0</v>
      </c>
      <c r="BK109" s="739">
        <v>0</v>
      </c>
      <c r="BL109" s="739">
        <v>0</v>
      </c>
      <c r="BM109" s="739">
        <v>0</v>
      </c>
      <c r="BN109" s="739">
        <v>0</v>
      </c>
      <c r="BO109" s="739">
        <v>0</v>
      </c>
      <c r="BP109" s="739">
        <v>0</v>
      </c>
      <c r="BQ109" s="739">
        <v>0</v>
      </c>
      <c r="BR109" s="739">
        <v>0</v>
      </c>
      <c r="BS109" s="739">
        <v>0</v>
      </c>
      <c r="BT109" s="740">
        <v>0</v>
      </c>
      <c r="BU109" s="163"/>
    </row>
    <row r="110" spans="2:73" ht="15.5">
      <c r="B110" s="737"/>
      <c r="C110" s="737"/>
      <c r="D110" s="737" t="s">
        <v>118</v>
      </c>
      <c r="E110" s="737" t="s">
        <v>745</v>
      </c>
      <c r="F110" s="737"/>
      <c r="G110" s="737"/>
      <c r="H110" s="737">
        <v>2015</v>
      </c>
      <c r="I110" s="636" t="s">
        <v>576</v>
      </c>
      <c r="J110" s="636" t="s">
        <v>582</v>
      </c>
      <c r="K110" s="50"/>
      <c r="L110" s="738"/>
      <c r="M110" s="739"/>
      <c r="N110" s="739"/>
      <c r="O110" s="739"/>
      <c r="P110" s="739">
        <v>0</v>
      </c>
      <c r="Q110" s="739">
        <v>0</v>
      </c>
      <c r="R110" s="739">
        <v>0</v>
      </c>
      <c r="S110" s="739">
        <v>0</v>
      </c>
      <c r="T110" s="739">
        <v>0</v>
      </c>
      <c r="U110" s="739">
        <v>0</v>
      </c>
      <c r="V110" s="739">
        <v>0</v>
      </c>
      <c r="W110" s="739">
        <v>0</v>
      </c>
      <c r="X110" s="739">
        <v>0</v>
      </c>
      <c r="Y110" s="739">
        <v>0</v>
      </c>
      <c r="Z110" s="739">
        <v>0</v>
      </c>
      <c r="AA110" s="739">
        <v>0</v>
      </c>
      <c r="AB110" s="739">
        <v>0</v>
      </c>
      <c r="AC110" s="739">
        <v>0</v>
      </c>
      <c r="AD110" s="739">
        <v>0</v>
      </c>
      <c r="AE110" s="739">
        <v>0</v>
      </c>
      <c r="AF110" s="739">
        <v>0</v>
      </c>
      <c r="AG110" s="739">
        <v>0</v>
      </c>
      <c r="AH110" s="739">
        <v>0</v>
      </c>
      <c r="AI110" s="739">
        <v>0</v>
      </c>
      <c r="AJ110" s="739">
        <v>0</v>
      </c>
      <c r="AK110" s="739">
        <v>0</v>
      </c>
      <c r="AL110" s="739">
        <v>0</v>
      </c>
      <c r="AM110" s="739">
        <v>0</v>
      </c>
      <c r="AN110" s="739">
        <v>0</v>
      </c>
      <c r="AO110" s="740">
        <v>0</v>
      </c>
      <c r="AP110" s="50"/>
      <c r="AQ110" s="738"/>
      <c r="AR110" s="739"/>
      <c r="AS110" s="739"/>
      <c r="AT110" s="739"/>
      <c r="AU110" s="739">
        <v>4307</v>
      </c>
      <c r="AV110" s="739">
        <v>4307</v>
      </c>
      <c r="AW110" s="739">
        <v>4307</v>
      </c>
      <c r="AX110" s="739">
        <v>4307</v>
      </c>
      <c r="AY110" s="739">
        <v>4307</v>
      </c>
      <c r="AZ110" s="739">
        <v>4307</v>
      </c>
      <c r="BA110" s="739">
        <v>4307</v>
      </c>
      <c r="BB110" s="739">
        <v>4307</v>
      </c>
      <c r="BC110" s="739">
        <v>4307</v>
      </c>
      <c r="BD110" s="739">
        <v>4307</v>
      </c>
      <c r="BE110" s="739">
        <v>4307</v>
      </c>
      <c r="BF110" s="739">
        <v>4307</v>
      </c>
      <c r="BG110" s="739">
        <v>0</v>
      </c>
      <c r="BH110" s="739">
        <v>0</v>
      </c>
      <c r="BI110" s="739">
        <v>0</v>
      </c>
      <c r="BJ110" s="739">
        <v>0</v>
      </c>
      <c r="BK110" s="739">
        <v>0</v>
      </c>
      <c r="BL110" s="739">
        <v>0</v>
      </c>
      <c r="BM110" s="739">
        <v>0</v>
      </c>
      <c r="BN110" s="739">
        <v>0</v>
      </c>
      <c r="BO110" s="739">
        <v>0</v>
      </c>
      <c r="BP110" s="739">
        <v>0</v>
      </c>
      <c r="BQ110" s="739">
        <v>0</v>
      </c>
      <c r="BR110" s="739">
        <v>0</v>
      </c>
      <c r="BS110" s="739">
        <v>0</v>
      </c>
      <c r="BT110" s="740">
        <v>0</v>
      </c>
      <c r="BU110" s="163"/>
    </row>
    <row r="111" spans="2:73" ht="15.5">
      <c r="B111" s="737"/>
      <c r="C111" s="737"/>
      <c r="D111" s="737" t="s">
        <v>95</v>
      </c>
      <c r="E111" s="737" t="s">
        <v>745</v>
      </c>
      <c r="F111" s="737"/>
      <c r="G111" s="737"/>
      <c r="H111" s="737">
        <v>2015</v>
      </c>
      <c r="I111" s="636" t="s">
        <v>576</v>
      </c>
      <c r="J111" s="636" t="s">
        <v>582</v>
      </c>
      <c r="K111" s="50"/>
      <c r="L111" s="738"/>
      <c r="M111" s="739"/>
      <c r="N111" s="739"/>
      <c r="O111" s="739"/>
      <c r="P111" s="739">
        <v>3</v>
      </c>
      <c r="Q111" s="739">
        <v>3</v>
      </c>
      <c r="R111" s="739">
        <v>3</v>
      </c>
      <c r="S111" s="739">
        <v>3</v>
      </c>
      <c r="T111" s="739">
        <v>3</v>
      </c>
      <c r="U111" s="739">
        <v>3</v>
      </c>
      <c r="V111" s="739">
        <v>3</v>
      </c>
      <c r="W111" s="739">
        <v>3</v>
      </c>
      <c r="X111" s="739">
        <v>3</v>
      </c>
      <c r="Y111" s="739">
        <v>3</v>
      </c>
      <c r="Z111" s="739">
        <v>3</v>
      </c>
      <c r="AA111" s="739">
        <v>3</v>
      </c>
      <c r="AB111" s="739">
        <v>3</v>
      </c>
      <c r="AC111" s="739">
        <v>3</v>
      </c>
      <c r="AD111" s="739">
        <v>3</v>
      </c>
      <c r="AE111" s="739">
        <v>3</v>
      </c>
      <c r="AF111" s="739">
        <v>2</v>
      </c>
      <c r="AG111" s="739">
        <v>2</v>
      </c>
      <c r="AH111" s="739">
        <v>2</v>
      </c>
      <c r="AI111" s="739">
        <v>2</v>
      </c>
      <c r="AJ111" s="739">
        <v>0</v>
      </c>
      <c r="AK111" s="739">
        <v>0</v>
      </c>
      <c r="AL111" s="739">
        <v>0</v>
      </c>
      <c r="AM111" s="739">
        <v>0</v>
      </c>
      <c r="AN111" s="739">
        <v>0</v>
      </c>
      <c r="AO111" s="740">
        <v>0</v>
      </c>
      <c r="AP111" s="50"/>
      <c r="AQ111" s="738"/>
      <c r="AR111" s="739"/>
      <c r="AS111" s="739"/>
      <c r="AT111" s="739"/>
      <c r="AU111" s="739">
        <v>50161</v>
      </c>
      <c r="AV111" s="739">
        <v>49436</v>
      </c>
      <c r="AW111" s="739">
        <v>49436</v>
      </c>
      <c r="AX111" s="739">
        <v>49436</v>
      </c>
      <c r="AY111" s="739">
        <v>49436</v>
      </c>
      <c r="AZ111" s="739">
        <v>49436</v>
      </c>
      <c r="BA111" s="739">
        <v>49436</v>
      </c>
      <c r="BB111" s="739">
        <v>49417</v>
      </c>
      <c r="BC111" s="739">
        <v>49417</v>
      </c>
      <c r="BD111" s="739">
        <v>49417</v>
      </c>
      <c r="BE111" s="739">
        <v>48228</v>
      </c>
      <c r="BF111" s="739">
        <v>48175</v>
      </c>
      <c r="BG111" s="739">
        <v>48175</v>
      </c>
      <c r="BH111" s="739">
        <v>48068</v>
      </c>
      <c r="BI111" s="739">
        <v>48068</v>
      </c>
      <c r="BJ111" s="739">
        <v>47983</v>
      </c>
      <c r="BK111" s="739">
        <v>25622</v>
      </c>
      <c r="BL111" s="739">
        <v>25622</v>
      </c>
      <c r="BM111" s="739">
        <v>25622</v>
      </c>
      <c r="BN111" s="739">
        <v>25622</v>
      </c>
      <c r="BO111" s="739">
        <v>0</v>
      </c>
      <c r="BP111" s="739">
        <v>0</v>
      </c>
      <c r="BQ111" s="739">
        <v>0</v>
      </c>
      <c r="BR111" s="739">
        <v>0</v>
      </c>
      <c r="BS111" s="739">
        <v>0</v>
      </c>
      <c r="BT111" s="740">
        <v>0</v>
      </c>
      <c r="BU111" s="163"/>
    </row>
    <row r="112" spans="2:72" ht="14.5">
      <c r="B112" s="737"/>
      <c r="C112" s="737"/>
      <c r="D112" s="737" t="s">
        <v>96</v>
      </c>
      <c r="E112" s="737" t="s">
        <v>745</v>
      </c>
      <c r="F112" s="737"/>
      <c r="G112" s="737"/>
      <c r="H112" s="737">
        <v>2015</v>
      </c>
      <c r="I112" s="636" t="s">
        <v>576</v>
      </c>
      <c r="J112" s="636" t="s">
        <v>582</v>
      </c>
      <c r="K112" s="50"/>
      <c r="L112" s="738"/>
      <c r="M112" s="739"/>
      <c r="N112" s="739"/>
      <c r="O112" s="739"/>
      <c r="P112" s="739">
        <v>0</v>
      </c>
      <c r="Q112" s="739">
        <v>0</v>
      </c>
      <c r="R112" s="739">
        <v>0</v>
      </c>
      <c r="S112" s="739">
        <v>0</v>
      </c>
      <c r="T112" s="739">
        <v>0</v>
      </c>
      <c r="U112" s="739">
        <v>0</v>
      </c>
      <c r="V112" s="739">
        <v>0</v>
      </c>
      <c r="W112" s="739">
        <v>0</v>
      </c>
      <c r="X112" s="739">
        <v>0</v>
      </c>
      <c r="Y112" s="739">
        <v>0</v>
      </c>
      <c r="Z112" s="739">
        <v>0</v>
      </c>
      <c r="AA112" s="739">
        <v>0</v>
      </c>
      <c r="AB112" s="739">
        <v>0</v>
      </c>
      <c r="AC112" s="739">
        <v>0</v>
      </c>
      <c r="AD112" s="739">
        <v>0</v>
      </c>
      <c r="AE112" s="739">
        <v>0</v>
      </c>
      <c r="AF112" s="739">
        <v>0</v>
      </c>
      <c r="AG112" s="739">
        <v>0</v>
      </c>
      <c r="AH112" s="739">
        <v>0</v>
      </c>
      <c r="AI112" s="739">
        <v>0</v>
      </c>
      <c r="AJ112" s="739">
        <v>0</v>
      </c>
      <c r="AK112" s="739">
        <v>0</v>
      </c>
      <c r="AL112" s="739">
        <v>0</v>
      </c>
      <c r="AM112" s="739">
        <v>0</v>
      </c>
      <c r="AN112" s="739">
        <v>0</v>
      </c>
      <c r="AO112" s="740">
        <v>0</v>
      </c>
      <c r="AP112" s="50"/>
      <c r="AQ112" s="738"/>
      <c r="AR112" s="739"/>
      <c r="AS112" s="739"/>
      <c r="AT112" s="739"/>
      <c r="AU112" s="739">
        <v>5557</v>
      </c>
      <c r="AV112" s="739">
        <v>5492</v>
      </c>
      <c r="AW112" s="739">
        <v>5492</v>
      </c>
      <c r="AX112" s="739">
        <v>5492</v>
      </c>
      <c r="AY112" s="739">
        <v>5492</v>
      </c>
      <c r="AZ112" s="739">
        <v>5492</v>
      </c>
      <c r="BA112" s="739">
        <v>5492</v>
      </c>
      <c r="BB112" s="739">
        <v>5478</v>
      </c>
      <c r="BC112" s="739">
        <v>5478</v>
      </c>
      <c r="BD112" s="739">
        <v>5478</v>
      </c>
      <c r="BE112" s="739">
        <v>4646</v>
      </c>
      <c r="BF112" s="739">
        <v>4608</v>
      </c>
      <c r="BG112" s="739">
        <v>4608</v>
      </c>
      <c r="BH112" s="739">
        <v>4466</v>
      </c>
      <c r="BI112" s="739">
        <v>4466</v>
      </c>
      <c r="BJ112" s="739">
        <v>4450</v>
      </c>
      <c r="BK112" s="739">
        <v>1859</v>
      </c>
      <c r="BL112" s="739">
        <v>1859</v>
      </c>
      <c r="BM112" s="739">
        <v>1859</v>
      </c>
      <c r="BN112" s="739">
        <v>1859</v>
      </c>
      <c r="BO112" s="739">
        <v>0</v>
      </c>
      <c r="BP112" s="739">
        <v>0</v>
      </c>
      <c r="BQ112" s="739">
        <v>0</v>
      </c>
      <c r="BR112" s="739">
        <v>0</v>
      </c>
      <c r="BS112" s="739">
        <v>0</v>
      </c>
      <c r="BT112" s="740">
        <v>0</v>
      </c>
    </row>
    <row r="113" spans="2:72" ht="14.5">
      <c r="B113" s="737"/>
      <c r="C113" s="737"/>
      <c r="D113" s="737" t="s">
        <v>676</v>
      </c>
      <c r="E113" s="737" t="s">
        <v>745</v>
      </c>
      <c r="F113" s="737"/>
      <c r="G113" s="737"/>
      <c r="H113" s="737">
        <v>2015</v>
      </c>
      <c r="I113" s="636" t="s">
        <v>576</v>
      </c>
      <c r="J113" s="636" t="s">
        <v>582</v>
      </c>
      <c r="K113" s="50"/>
      <c r="L113" s="738"/>
      <c r="M113" s="739"/>
      <c r="N113" s="739"/>
      <c r="O113" s="739"/>
      <c r="P113" s="739">
        <v>8</v>
      </c>
      <c r="Q113" s="739">
        <v>8</v>
      </c>
      <c r="R113" s="739">
        <v>8</v>
      </c>
      <c r="S113" s="739">
        <v>8</v>
      </c>
      <c r="T113" s="739">
        <v>8</v>
      </c>
      <c r="U113" s="739">
        <v>8</v>
      </c>
      <c r="V113" s="739">
        <v>8</v>
      </c>
      <c r="W113" s="739">
        <v>8</v>
      </c>
      <c r="X113" s="739">
        <v>8</v>
      </c>
      <c r="Y113" s="739">
        <v>8</v>
      </c>
      <c r="Z113" s="739">
        <v>8</v>
      </c>
      <c r="AA113" s="739">
        <v>8</v>
      </c>
      <c r="AB113" s="739">
        <v>8</v>
      </c>
      <c r="AC113" s="739">
        <v>8</v>
      </c>
      <c r="AD113" s="739">
        <v>8</v>
      </c>
      <c r="AE113" s="739">
        <v>8</v>
      </c>
      <c r="AF113" s="739">
        <v>8</v>
      </c>
      <c r="AG113" s="739">
        <v>8</v>
      </c>
      <c r="AH113" s="739">
        <v>8</v>
      </c>
      <c r="AI113" s="739">
        <v>0</v>
      </c>
      <c r="AJ113" s="739">
        <v>0</v>
      </c>
      <c r="AK113" s="739">
        <v>0</v>
      </c>
      <c r="AL113" s="739">
        <v>0</v>
      </c>
      <c r="AM113" s="739">
        <v>0</v>
      </c>
      <c r="AN113" s="739">
        <v>0</v>
      </c>
      <c r="AO113" s="740">
        <v>0</v>
      </c>
      <c r="AP113" s="50"/>
      <c r="AQ113" s="738"/>
      <c r="AR113" s="739"/>
      <c r="AS113" s="739"/>
      <c r="AT113" s="739"/>
      <c r="AU113" s="739">
        <v>15881</v>
      </c>
      <c r="AV113" s="739">
        <v>15881</v>
      </c>
      <c r="AW113" s="739">
        <v>15881</v>
      </c>
      <c r="AX113" s="739">
        <v>15881</v>
      </c>
      <c r="AY113" s="739">
        <v>15881</v>
      </c>
      <c r="AZ113" s="739">
        <v>15881</v>
      </c>
      <c r="BA113" s="739">
        <v>15881</v>
      </c>
      <c r="BB113" s="739">
        <v>15881</v>
      </c>
      <c r="BC113" s="739">
        <v>15881</v>
      </c>
      <c r="BD113" s="739">
        <v>15881</v>
      </c>
      <c r="BE113" s="739">
        <v>15881</v>
      </c>
      <c r="BF113" s="739">
        <v>15881</v>
      </c>
      <c r="BG113" s="739">
        <v>15881</v>
      </c>
      <c r="BH113" s="739">
        <v>15881</v>
      </c>
      <c r="BI113" s="739">
        <v>15881</v>
      </c>
      <c r="BJ113" s="739">
        <v>15881</v>
      </c>
      <c r="BK113" s="739">
        <v>15881</v>
      </c>
      <c r="BL113" s="739">
        <v>15881</v>
      </c>
      <c r="BM113" s="739">
        <v>15112</v>
      </c>
      <c r="BN113" s="739">
        <v>0</v>
      </c>
      <c r="BO113" s="739">
        <v>0</v>
      </c>
      <c r="BP113" s="739">
        <v>0</v>
      </c>
      <c r="BQ113" s="739">
        <v>0</v>
      </c>
      <c r="BR113" s="739">
        <v>0</v>
      </c>
      <c r="BS113" s="739">
        <v>0</v>
      </c>
      <c r="BT113" s="740">
        <v>0</v>
      </c>
    </row>
    <row r="114" spans="2:72" ht="14.5">
      <c r="B114" s="737"/>
      <c r="C114" s="737"/>
      <c r="D114" s="737" t="s">
        <v>100</v>
      </c>
      <c r="E114" s="737" t="s">
        <v>745</v>
      </c>
      <c r="F114" s="737"/>
      <c r="G114" s="737"/>
      <c r="H114" s="737">
        <v>2015</v>
      </c>
      <c r="I114" s="636" t="s">
        <v>576</v>
      </c>
      <c r="J114" s="636" t="s">
        <v>582</v>
      </c>
      <c r="K114" s="50"/>
      <c r="L114" s="738"/>
      <c r="M114" s="739"/>
      <c r="N114" s="739"/>
      <c r="O114" s="739"/>
      <c r="P114" s="739">
        <v>17</v>
      </c>
      <c r="Q114" s="739">
        <v>17</v>
      </c>
      <c r="R114" s="739">
        <v>17</v>
      </c>
      <c r="S114" s="739">
        <v>17</v>
      </c>
      <c r="T114" s="739">
        <v>17</v>
      </c>
      <c r="U114" s="739">
        <v>17</v>
      </c>
      <c r="V114" s="739">
        <v>16</v>
      </c>
      <c r="W114" s="739">
        <v>16</v>
      </c>
      <c r="X114" s="739">
        <v>16</v>
      </c>
      <c r="Y114" s="739">
        <v>10</v>
      </c>
      <c r="Z114" s="739">
        <v>5</v>
      </c>
      <c r="AA114" s="739">
        <v>5</v>
      </c>
      <c r="AB114" s="739">
        <v>4</v>
      </c>
      <c r="AC114" s="739">
        <v>4</v>
      </c>
      <c r="AD114" s="739">
        <v>4</v>
      </c>
      <c r="AE114" s="739">
        <v>4</v>
      </c>
      <c r="AF114" s="739">
        <v>4</v>
      </c>
      <c r="AG114" s="739">
        <v>4</v>
      </c>
      <c r="AH114" s="739">
        <v>4</v>
      </c>
      <c r="AI114" s="739">
        <v>4</v>
      </c>
      <c r="AJ114" s="739">
        <v>0</v>
      </c>
      <c r="AK114" s="739">
        <v>0</v>
      </c>
      <c r="AL114" s="739">
        <v>0</v>
      </c>
      <c r="AM114" s="739">
        <v>0</v>
      </c>
      <c r="AN114" s="739">
        <v>0</v>
      </c>
      <c r="AO114" s="740">
        <v>0</v>
      </c>
      <c r="AP114" s="50"/>
      <c r="AQ114" s="738"/>
      <c r="AR114" s="739"/>
      <c r="AS114" s="739"/>
      <c r="AT114" s="739"/>
      <c r="AU114" s="739">
        <v>137839</v>
      </c>
      <c r="AV114" s="739">
        <v>137839</v>
      </c>
      <c r="AW114" s="739">
        <v>137839</v>
      </c>
      <c r="AX114" s="739">
        <v>137839</v>
      </c>
      <c r="AY114" s="739">
        <v>137839</v>
      </c>
      <c r="AZ114" s="739">
        <v>137839</v>
      </c>
      <c r="BA114" s="739">
        <v>130371</v>
      </c>
      <c r="BB114" s="739">
        <v>130371</v>
      </c>
      <c r="BC114" s="739">
        <v>130371</v>
      </c>
      <c r="BD114" s="739">
        <v>98734</v>
      </c>
      <c r="BE114" s="739">
        <v>67771</v>
      </c>
      <c r="BF114" s="739">
        <v>67771</v>
      </c>
      <c r="BG114" s="739">
        <v>11392</v>
      </c>
      <c r="BH114" s="739">
        <v>11392</v>
      </c>
      <c r="BI114" s="739">
        <v>11392</v>
      </c>
      <c r="BJ114" s="739">
        <v>11392</v>
      </c>
      <c r="BK114" s="739">
        <v>11392</v>
      </c>
      <c r="BL114" s="739">
        <v>11392</v>
      </c>
      <c r="BM114" s="739">
        <v>11392</v>
      </c>
      <c r="BN114" s="739">
        <v>11392</v>
      </c>
      <c r="BO114" s="739">
        <v>0</v>
      </c>
      <c r="BP114" s="739">
        <v>0</v>
      </c>
      <c r="BQ114" s="739">
        <v>0</v>
      </c>
      <c r="BR114" s="739">
        <v>0</v>
      </c>
      <c r="BS114" s="739">
        <v>0</v>
      </c>
      <c r="BT114" s="740">
        <v>0</v>
      </c>
    </row>
    <row r="115" spans="2:73" ht="15.5">
      <c r="B115" s="737"/>
      <c r="C115" s="737"/>
      <c r="D115" s="737" t="s">
        <v>100</v>
      </c>
      <c r="E115" s="737" t="s">
        <v>745</v>
      </c>
      <c r="F115" s="737"/>
      <c r="G115" s="737"/>
      <c r="H115" s="737">
        <v>2015</v>
      </c>
      <c r="I115" s="636" t="s">
        <v>577</v>
      </c>
      <c r="J115" s="636" t="s">
        <v>582</v>
      </c>
      <c r="K115" s="50"/>
      <c r="L115" s="738"/>
      <c r="M115" s="739"/>
      <c r="N115" s="739"/>
      <c r="O115" s="739"/>
      <c r="P115" s="739">
        <v>3</v>
      </c>
      <c r="Q115" s="739">
        <v>3</v>
      </c>
      <c r="R115" s="739">
        <v>23</v>
      </c>
      <c r="S115" s="739">
        <v>23</v>
      </c>
      <c r="T115" s="739">
        <v>23</v>
      </c>
      <c r="U115" s="739">
        <v>23</v>
      </c>
      <c r="V115" s="739">
        <v>33</v>
      </c>
      <c r="W115" s="739">
        <v>33</v>
      </c>
      <c r="X115" s="739">
        <v>33</v>
      </c>
      <c r="Y115" s="739">
        <v>30</v>
      </c>
      <c r="Z115" s="739">
        <v>23</v>
      </c>
      <c r="AA115" s="739">
        <v>23</v>
      </c>
      <c r="AB115" s="739">
        <v>9</v>
      </c>
      <c r="AC115" s="739">
        <v>6</v>
      </c>
      <c r="AD115" s="739">
        <v>6</v>
      </c>
      <c r="AE115" s="739">
        <v>6</v>
      </c>
      <c r="AF115" s="739">
        <v>6</v>
      </c>
      <c r="AG115" s="739">
        <v>6</v>
      </c>
      <c r="AH115" s="739">
        <v>6</v>
      </c>
      <c r="AI115" s="739">
        <v>6</v>
      </c>
      <c r="AJ115" s="739">
        <v>0</v>
      </c>
      <c r="AK115" s="739">
        <v>0</v>
      </c>
      <c r="AL115" s="739">
        <v>0</v>
      </c>
      <c r="AM115" s="739">
        <v>0</v>
      </c>
      <c r="AN115" s="739">
        <v>0</v>
      </c>
      <c r="AO115" s="740">
        <v>0</v>
      </c>
      <c r="AP115" s="50"/>
      <c r="AQ115" s="738"/>
      <c r="AR115" s="739"/>
      <c r="AS115" s="739"/>
      <c r="AT115" s="739"/>
      <c r="AU115" s="739">
        <v>28314</v>
      </c>
      <c r="AV115" s="739">
        <v>28314</v>
      </c>
      <c r="AW115" s="739">
        <v>92527</v>
      </c>
      <c r="AX115" s="739">
        <v>92635</v>
      </c>
      <c r="AY115" s="739">
        <v>92635</v>
      </c>
      <c r="AZ115" s="739">
        <v>92635</v>
      </c>
      <c r="BA115" s="739">
        <v>156621</v>
      </c>
      <c r="BB115" s="739">
        <v>156621</v>
      </c>
      <c r="BC115" s="739">
        <v>185909</v>
      </c>
      <c r="BD115" s="739">
        <v>178157</v>
      </c>
      <c r="BE115" s="739">
        <v>112760</v>
      </c>
      <c r="BF115" s="739">
        <v>95705</v>
      </c>
      <c r="BG115" s="739">
        <v>27910</v>
      </c>
      <c r="BH115" s="739">
        <v>18719</v>
      </c>
      <c r="BI115" s="739">
        <v>18719</v>
      </c>
      <c r="BJ115" s="739">
        <v>18719</v>
      </c>
      <c r="BK115" s="739">
        <v>18719</v>
      </c>
      <c r="BL115" s="739">
        <v>18719</v>
      </c>
      <c r="BM115" s="739">
        <v>18719</v>
      </c>
      <c r="BN115" s="739">
        <v>18719</v>
      </c>
      <c r="BO115" s="739">
        <v>0</v>
      </c>
      <c r="BP115" s="739">
        <v>0</v>
      </c>
      <c r="BQ115" s="739">
        <v>0</v>
      </c>
      <c r="BR115" s="739">
        <v>0</v>
      </c>
      <c r="BS115" s="739">
        <v>0</v>
      </c>
      <c r="BT115" s="740">
        <v>0</v>
      </c>
      <c r="BU115" s="163"/>
    </row>
    <row r="116" spans="2:73" ht="15.5">
      <c r="B116" s="737"/>
      <c r="C116" s="737"/>
      <c r="D116" s="737" t="s">
        <v>101</v>
      </c>
      <c r="E116" s="737" t="s">
        <v>745</v>
      </c>
      <c r="F116" s="737"/>
      <c r="G116" s="737"/>
      <c r="H116" s="737">
        <v>2015</v>
      </c>
      <c r="I116" s="636" t="s">
        <v>577</v>
      </c>
      <c r="J116" s="636" t="s">
        <v>582</v>
      </c>
      <c r="K116" s="50"/>
      <c r="L116" s="738"/>
      <c r="M116" s="739"/>
      <c r="N116" s="739"/>
      <c r="O116" s="739"/>
      <c r="P116" s="739">
        <v>-2</v>
      </c>
      <c r="Q116" s="739">
        <v>-2</v>
      </c>
      <c r="R116" s="739">
        <v>1</v>
      </c>
      <c r="S116" s="739">
        <v>1</v>
      </c>
      <c r="T116" s="739">
        <v>1</v>
      </c>
      <c r="U116" s="739">
        <v>1</v>
      </c>
      <c r="V116" s="739">
        <v>1</v>
      </c>
      <c r="W116" s="739">
        <v>1</v>
      </c>
      <c r="X116" s="739">
        <v>1</v>
      </c>
      <c r="Y116" s="739">
        <v>1</v>
      </c>
      <c r="Z116" s="739">
        <v>1</v>
      </c>
      <c r="AA116" s="739">
        <v>1</v>
      </c>
      <c r="AB116" s="739">
        <v>0</v>
      </c>
      <c r="AC116" s="739">
        <v>0</v>
      </c>
      <c r="AD116" s="739">
        <v>0</v>
      </c>
      <c r="AE116" s="739">
        <v>0</v>
      </c>
      <c r="AF116" s="739">
        <v>0</v>
      </c>
      <c r="AG116" s="739">
        <v>0</v>
      </c>
      <c r="AH116" s="739">
        <v>0</v>
      </c>
      <c r="AI116" s="739">
        <v>0</v>
      </c>
      <c r="AJ116" s="739">
        <v>0</v>
      </c>
      <c r="AK116" s="739">
        <v>0</v>
      </c>
      <c r="AL116" s="739">
        <v>0</v>
      </c>
      <c r="AM116" s="739">
        <v>0</v>
      </c>
      <c r="AN116" s="739">
        <v>0</v>
      </c>
      <c r="AO116" s="740">
        <v>0</v>
      </c>
      <c r="AP116" s="50"/>
      <c r="AQ116" s="738"/>
      <c r="AR116" s="739"/>
      <c r="AS116" s="739"/>
      <c r="AT116" s="739"/>
      <c r="AU116" s="739">
        <v>-6723</v>
      </c>
      <c r="AV116" s="739">
        <v>-6416</v>
      </c>
      <c r="AW116" s="739">
        <v>3045</v>
      </c>
      <c r="AX116" s="739">
        <v>3140</v>
      </c>
      <c r="AY116" s="739">
        <v>3140</v>
      </c>
      <c r="AZ116" s="739">
        <v>3140</v>
      </c>
      <c r="BA116" s="739">
        <v>3140</v>
      </c>
      <c r="BB116" s="739">
        <v>3140</v>
      </c>
      <c r="BC116" s="739">
        <v>3140</v>
      </c>
      <c r="BD116" s="739">
        <v>3140</v>
      </c>
      <c r="BE116" s="739">
        <v>3140</v>
      </c>
      <c r="BF116" s="739">
        <v>3140</v>
      </c>
      <c r="BG116" s="739">
        <v>0</v>
      </c>
      <c r="BH116" s="739">
        <v>0</v>
      </c>
      <c r="BI116" s="739">
        <v>0</v>
      </c>
      <c r="BJ116" s="739">
        <v>0</v>
      </c>
      <c r="BK116" s="739">
        <v>0</v>
      </c>
      <c r="BL116" s="739">
        <v>0</v>
      </c>
      <c r="BM116" s="739">
        <v>0</v>
      </c>
      <c r="BN116" s="739">
        <v>0</v>
      </c>
      <c r="BO116" s="739">
        <v>0</v>
      </c>
      <c r="BP116" s="739">
        <v>0</v>
      </c>
      <c r="BQ116" s="739">
        <v>0</v>
      </c>
      <c r="BR116" s="739">
        <v>0</v>
      </c>
      <c r="BS116" s="739">
        <v>0</v>
      </c>
      <c r="BT116" s="740">
        <v>0</v>
      </c>
      <c r="BU116" s="163"/>
    </row>
    <row r="117" spans="2:73" ht="15.5">
      <c r="B117" s="737"/>
      <c r="C117" s="737"/>
      <c r="D117" s="737" t="s">
        <v>113</v>
      </c>
      <c r="E117" s="737" t="s">
        <v>745</v>
      </c>
      <c r="F117" s="737"/>
      <c r="G117" s="737"/>
      <c r="H117" s="737">
        <v>2016</v>
      </c>
      <c r="I117" s="636" t="s">
        <v>576</v>
      </c>
      <c r="J117" s="636" t="s">
        <v>589</v>
      </c>
      <c r="K117" s="50"/>
      <c r="L117" s="738"/>
      <c r="M117" s="739"/>
      <c r="N117" s="739"/>
      <c r="O117" s="739"/>
      <c r="P117" s="739"/>
      <c r="Q117" s="739">
        <v>127</v>
      </c>
      <c r="R117" s="739">
        <v>127</v>
      </c>
      <c r="S117" s="739">
        <v>127</v>
      </c>
      <c r="T117" s="739">
        <v>127</v>
      </c>
      <c r="U117" s="739">
        <v>127</v>
      </c>
      <c r="V117" s="739">
        <v>127</v>
      </c>
      <c r="W117" s="739">
        <v>127</v>
      </c>
      <c r="X117" s="739">
        <v>127</v>
      </c>
      <c r="Y117" s="739">
        <v>127</v>
      </c>
      <c r="Z117" s="739">
        <v>127</v>
      </c>
      <c r="AA117" s="739">
        <v>122</v>
      </c>
      <c r="AB117" s="739">
        <v>122</v>
      </c>
      <c r="AC117" s="739">
        <v>122</v>
      </c>
      <c r="AD117" s="739">
        <v>122</v>
      </c>
      <c r="AE117" s="739">
        <v>106</v>
      </c>
      <c r="AF117" s="739">
        <v>106</v>
      </c>
      <c r="AG117" s="739">
        <v>46</v>
      </c>
      <c r="AH117" s="739">
        <v>0</v>
      </c>
      <c r="AI117" s="739">
        <v>0</v>
      </c>
      <c r="AJ117" s="739">
        <v>0</v>
      </c>
      <c r="AK117" s="739">
        <v>0</v>
      </c>
      <c r="AL117" s="739">
        <v>0</v>
      </c>
      <c r="AM117" s="739">
        <v>0</v>
      </c>
      <c r="AN117" s="739">
        <v>0</v>
      </c>
      <c r="AO117" s="740">
        <v>0</v>
      </c>
      <c r="AP117" s="50"/>
      <c r="AQ117" s="738"/>
      <c r="AR117" s="739"/>
      <c r="AS117" s="739"/>
      <c r="AT117" s="739"/>
      <c r="AU117" s="739"/>
      <c r="AV117" s="739">
        <v>1959951</v>
      </c>
      <c r="AW117" s="739">
        <v>1959951</v>
      </c>
      <c r="AX117" s="739">
        <v>1959951</v>
      </c>
      <c r="AY117" s="739">
        <v>1959951</v>
      </c>
      <c r="AZ117" s="739">
        <v>1959951</v>
      </c>
      <c r="BA117" s="739">
        <v>1959951</v>
      </c>
      <c r="BB117" s="739">
        <v>1959951</v>
      </c>
      <c r="BC117" s="739">
        <v>1959654</v>
      </c>
      <c r="BD117" s="739">
        <v>1959654</v>
      </c>
      <c r="BE117" s="739">
        <v>1951081</v>
      </c>
      <c r="BF117" s="739">
        <v>1927544</v>
      </c>
      <c r="BG117" s="739">
        <v>1926399</v>
      </c>
      <c r="BH117" s="739">
        <v>1926399</v>
      </c>
      <c r="BI117" s="739">
        <v>1915996</v>
      </c>
      <c r="BJ117" s="739">
        <v>1664106</v>
      </c>
      <c r="BK117" s="739">
        <v>1664106</v>
      </c>
      <c r="BL117" s="739">
        <v>731423</v>
      </c>
      <c r="BM117" s="739">
        <v>0</v>
      </c>
      <c r="BN117" s="739">
        <v>0</v>
      </c>
      <c r="BO117" s="739">
        <v>0</v>
      </c>
      <c r="BP117" s="739">
        <v>0</v>
      </c>
      <c r="BQ117" s="739">
        <v>0</v>
      </c>
      <c r="BR117" s="739">
        <v>0</v>
      </c>
      <c r="BS117" s="739">
        <v>0</v>
      </c>
      <c r="BT117" s="740">
        <v>0</v>
      </c>
      <c r="BU117" s="163"/>
    </row>
    <row r="118" spans="2:73" ht="15.5">
      <c r="B118" s="737"/>
      <c r="C118" s="737"/>
      <c r="D118" s="737" t="s">
        <v>767</v>
      </c>
      <c r="E118" s="737" t="s">
        <v>745</v>
      </c>
      <c r="F118" s="737"/>
      <c r="G118" s="737"/>
      <c r="H118" s="737">
        <v>2016</v>
      </c>
      <c r="I118" s="636" t="s">
        <v>576</v>
      </c>
      <c r="J118" s="636" t="s">
        <v>589</v>
      </c>
      <c r="K118" s="50"/>
      <c r="L118" s="738"/>
      <c r="M118" s="739"/>
      <c r="N118" s="739"/>
      <c r="O118" s="739"/>
      <c r="P118" s="739"/>
      <c r="Q118" s="739">
        <v>123</v>
      </c>
      <c r="R118" s="739">
        <v>123</v>
      </c>
      <c r="S118" s="739">
        <v>123</v>
      </c>
      <c r="T118" s="739">
        <v>123</v>
      </c>
      <c r="U118" s="739">
        <v>123</v>
      </c>
      <c r="V118" s="739">
        <v>123</v>
      </c>
      <c r="W118" s="739">
        <v>123</v>
      </c>
      <c r="X118" s="739">
        <v>123</v>
      </c>
      <c r="Y118" s="739">
        <v>123</v>
      </c>
      <c r="Z118" s="739">
        <v>123</v>
      </c>
      <c r="AA118" s="739">
        <v>123</v>
      </c>
      <c r="AB118" s="739">
        <v>123</v>
      </c>
      <c r="AC118" s="739">
        <v>123</v>
      </c>
      <c r="AD118" s="739">
        <v>123</v>
      </c>
      <c r="AE118" s="739">
        <v>123</v>
      </c>
      <c r="AF118" s="739">
        <v>123</v>
      </c>
      <c r="AG118" s="739">
        <v>123</v>
      </c>
      <c r="AH118" s="739">
        <v>123</v>
      </c>
      <c r="AI118" s="739">
        <v>110</v>
      </c>
      <c r="AJ118" s="739">
        <v>0</v>
      </c>
      <c r="AK118" s="739">
        <v>0</v>
      </c>
      <c r="AL118" s="739">
        <v>0</v>
      </c>
      <c r="AM118" s="739">
        <v>0</v>
      </c>
      <c r="AN118" s="739">
        <v>0</v>
      </c>
      <c r="AO118" s="740">
        <v>0</v>
      </c>
      <c r="AP118" s="50"/>
      <c r="AQ118" s="738"/>
      <c r="AR118" s="739"/>
      <c r="AS118" s="739"/>
      <c r="AT118" s="739"/>
      <c r="AU118" s="739"/>
      <c r="AV118" s="739">
        <v>410272</v>
      </c>
      <c r="AW118" s="739">
        <v>410272</v>
      </c>
      <c r="AX118" s="739">
        <v>410272</v>
      </c>
      <c r="AY118" s="739">
        <v>410272</v>
      </c>
      <c r="AZ118" s="739">
        <v>410272</v>
      </c>
      <c r="BA118" s="739">
        <v>410272</v>
      </c>
      <c r="BB118" s="739">
        <v>410272</v>
      </c>
      <c r="BC118" s="739">
        <v>410272</v>
      </c>
      <c r="BD118" s="739">
        <v>410272</v>
      </c>
      <c r="BE118" s="739">
        <v>410272</v>
      </c>
      <c r="BF118" s="739">
        <v>410272</v>
      </c>
      <c r="BG118" s="739">
        <v>410272</v>
      </c>
      <c r="BH118" s="739">
        <v>410272</v>
      </c>
      <c r="BI118" s="739">
        <v>410272</v>
      </c>
      <c r="BJ118" s="739">
        <v>410272</v>
      </c>
      <c r="BK118" s="739">
        <v>410272</v>
      </c>
      <c r="BL118" s="739">
        <v>410272</v>
      </c>
      <c r="BM118" s="739">
        <v>410272</v>
      </c>
      <c r="BN118" s="739">
        <v>398029</v>
      </c>
      <c r="BO118" s="739">
        <v>0</v>
      </c>
      <c r="BP118" s="739">
        <v>0</v>
      </c>
      <c r="BQ118" s="739">
        <v>0</v>
      </c>
      <c r="BR118" s="739">
        <v>0</v>
      </c>
      <c r="BS118" s="739">
        <v>0</v>
      </c>
      <c r="BT118" s="740">
        <v>0</v>
      </c>
      <c r="BU118" s="163"/>
    </row>
    <row r="119" spans="2:73" ht="15.5">
      <c r="B119" s="737"/>
      <c r="C119" s="737"/>
      <c r="D119" s="737" t="s">
        <v>118</v>
      </c>
      <c r="E119" s="737" t="s">
        <v>745</v>
      </c>
      <c r="F119" s="737"/>
      <c r="G119" s="737"/>
      <c r="H119" s="737">
        <v>2016</v>
      </c>
      <c r="I119" s="636" t="s">
        <v>576</v>
      </c>
      <c r="J119" s="636" t="s">
        <v>589</v>
      </c>
      <c r="K119" s="50"/>
      <c r="L119" s="738"/>
      <c r="M119" s="739"/>
      <c r="N119" s="739"/>
      <c r="O119" s="739"/>
      <c r="P119" s="739"/>
      <c r="Q119" s="739">
        <v>132</v>
      </c>
      <c r="R119" s="739">
        <v>128</v>
      </c>
      <c r="S119" s="739">
        <v>128</v>
      </c>
      <c r="T119" s="739">
        <v>128</v>
      </c>
      <c r="U119" s="739">
        <v>128</v>
      </c>
      <c r="V119" s="739">
        <v>120</v>
      </c>
      <c r="W119" s="739">
        <v>120</v>
      </c>
      <c r="X119" s="739">
        <v>120</v>
      </c>
      <c r="Y119" s="739">
        <v>120</v>
      </c>
      <c r="Z119" s="739">
        <v>120</v>
      </c>
      <c r="AA119" s="739">
        <v>120</v>
      </c>
      <c r="AB119" s="739">
        <v>80</v>
      </c>
      <c r="AC119" s="739">
        <v>16</v>
      </c>
      <c r="AD119" s="739">
        <v>16</v>
      </c>
      <c r="AE119" s="739">
        <v>12</v>
      </c>
      <c r="AF119" s="739">
        <v>2</v>
      </c>
      <c r="AG119" s="739">
        <v>2</v>
      </c>
      <c r="AH119" s="739">
        <v>2</v>
      </c>
      <c r="AI119" s="739">
        <v>2</v>
      </c>
      <c r="AJ119" s="739">
        <v>2</v>
      </c>
      <c r="AK119" s="739">
        <v>0</v>
      </c>
      <c r="AL119" s="739">
        <v>0</v>
      </c>
      <c r="AM119" s="739">
        <v>0</v>
      </c>
      <c r="AN119" s="739">
        <v>0</v>
      </c>
      <c r="AO119" s="740">
        <v>0</v>
      </c>
      <c r="AP119" s="50"/>
      <c r="AQ119" s="738"/>
      <c r="AR119" s="739"/>
      <c r="AS119" s="739"/>
      <c r="AT119" s="739"/>
      <c r="AU119" s="739"/>
      <c r="AV119" s="739">
        <v>2405084</v>
      </c>
      <c r="AW119" s="739">
        <v>2385368</v>
      </c>
      <c r="AX119" s="739">
        <v>2385368</v>
      </c>
      <c r="AY119" s="739">
        <v>2385368</v>
      </c>
      <c r="AZ119" s="739">
        <v>2385368</v>
      </c>
      <c r="BA119" s="739">
        <v>2340066</v>
      </c>
      <c r="BB119" s="739">
        <v>2340066</v>
      </c>
      <c r="BC119" s="739">
        <v>2340066</v>
      </c>
      <c r="BD119" s="739">
        <v>2340066</v>
      </c>
      <c r="BE119" s="739">
        <v>2340066</v>
      </c>
      <c r="BF119" s="739">
        <v>2339341</v>
      </c>
      <c r="BG119" s="739">
        <v>2153983</v>
      </c>
      <c r="BH119" s="739">
        <v>58371</v>
      </c>
      <c r="BI119" s="739">
        <v>58371</v>
      </c>
      <c r="BJ119" s="739">
        <v>33319</v>
      </c>
      <c r="BK119" s="739">
        <v>2322</v>
      </c>
      <c r="BL119" s="739">
        <v>2322</v>
      </c>
      <c r="BM119" s="739">
        <v>2322</v>
      </c>
      <c r="BN119" s="739">
        <v>2322</v>
      </c>
      <c r="BO119" s="739">
        <v>2322</v>
      </c>
      <c r="BP119" s="739">
        <v>0</v>
      </c>
      <c r="BQ119" s="739">
        <v>0</v>
      </c>
      <c r="BR119" s="739">
        <v>0</v>
      </c>
      <c r="BS119" s="739">
        <v>0</v>
      </c>
      <c r="BT119" s="740">
        <v>0</v>
      </c>
      <c r="BU119" s="163"/>
    </row>
    <row r="120" spans="2:72" ht="14.5">
      <c r="B120" s="737"/>
      <c r="C120" s="737"/>
      <c r="D120" s="737" t="s">
        <v>113</v>
      </c>
      <c r="E120" s="737" t="s">
        <v>745</v>
      </c>
      <c r="F120" s="737"/>
      <c r="G120" s="737"/>
      <c r="H120" s="737">
        <v>2016</v>
      </c>
      <c r="I120" s="636" t="s">
        <v>577</v>
      </c>
      <c r="J120" s="636" t="s">
        <v>582</v>
      </c>
      <c r="K120" s="50"/>
      <c r="L120" s="738"/>
      <c r="M120" s="739"/>
      <c r="N120" s="739"/>
      <c r="O120" s="739"/>
      <c r="P120" s="739"/>
      <c r="Q120" s="739">
        <v>14</v>
      </c>
      <c r="R120" s="739">
        <v>14</v>
      </c>
      <c r="S120" s="739">
        <v>14</v>
      </c>
      <c r="T120" s="739">
        <v>14</v>
      </c>
      <c r="U120" s="739">
        <v>14</v>
      </c>
      <c r="V120" s="739">
        <v>14</v>
      </c>
      <c r="W120" s="739">
        <v>14</v>
      </c>
      <c r="X120" s="739">
        <v>14</v>
      </c>
      <c r="Y120" s="739">
        <v>14</v>
      </c>
      <c r="Z120" s="739">
        <v>14</v>
      </c>
      <c r="AA120" s="739">
        <v>14</v>
      </c>
      <c r="AB120" s="739">
        <v>14</v>
      </c>
      <c r="AC120" s="739">
        <v>14</v>
      </c>
      <c r="AD120" s="739">
        <v>14</v>
      </c>
      <c r="AE120" s="739">
        <v>12</v>
      </c>
      <c r="AF120" s="739">
        <v>12</v>
      </c>
      <c r="AG120" s="739">
        <v>5</v>
      </c>
      <c r="AH120" s="739">
        <v>0</v>
      </c>
      <c r="AI120" s="739">
        <v>0</v>
      </c>
      <c r="AJ120" s="739">
        <v>0</v>
      </c>
      <c r="AK120" s="739">
        <v>0</v>
      </c>
      <c r="AL120" s="739">
        <v>0</v>
      </c>
      <c r="AM120" s="739">
        <v>0</v>
      </c>
      <c r="AN120" s="739">
        <v>0</v>
      </c>
      <c r="AO120" s="740">
        <v>0</v>
      </c>
      <c r="AP120" s="50"/>
      <c r="AQ120" s="738"/>
      <c r="AR120" s="739"/>
      <c r="AS120" s="739"/>
      <c r="AT120" s="739"/>
      <c r="AU120" s="739"/>
      <c r="AV120" s="739">
        <v>219861</v>
      </c>
      <c r="AW120" s="739">
        <v>219861</v>
      </c>
      <c r="AX120" s="739">
        <v>219861</v>
      </c>
      <c r="AY120" s="739">
        <v>219861</v>
      </c>
      <c r="AZ120" s="739">
        <v>219861</v>
      </c>
      <c r="BA120" s="739">
        <v>219861</v>
      </c>
      <c r="BB120" s="739">
        <v>219861</v>
      </c>
      <c r="BC120" s="739">
        <v>219841</v>
      </c>
      <c r="BD120" s="739">
        <v>219841</v>
      </c>
      <c r="BE120" s="739">
        <v>220168</v>
      </c>
      <c r="BF120" s="739">
        <v>220306</v>
      </c>
      <c r="BG120" s="739">
        <v>220512</v>
      </c>
      <c r="BH120" s="739">
        <v>220512</v>
      </c>
      <c r="BI120" s="739">
        <v>219927</v>
      </c>
      <c r="BJ120" s="739">
        <v>190506</v>
      </c>
      <c r="BK120" s="739">
        <v>190506</v>
      </c>
      <c r="BL120" s="739">
        <v>78600</v>
      </c>
      <c r="BM120" s="739">
        <v>0</v>
      </c>
      <c r="BN120" s="739">
        <v>0</v>
      </c>
      <c r="BO120" s="739">
        <v>0</v>
      </c>
      <c r="BP120" s="739">
        <v>0</v>
      </c>
      <c r="BQ120" s="739">
        <v>0</v>
      </c>
      <c r="BR120" s="739">
        <v>0</v>
      </c>
      <c r="BS120" s="739">
        <v>0</v>
      </c>
      <c r="BT120" s="740">
        <v>0</v>
      </c>
    </row>
    <row r="121" spans="2:73" ht="15.5">
      <c r="B121" s="737"/>
      <c r="C121" s="737"/>
      <c r="D121" s="737" t="s">
        <v>767</v>
      </c>
      <c r="E121" s="737" t="s">
        <v>745</v>
      </c>
      <c r="F121" s="737"/>
      <c r="G121" s="737"/>
      <c r="H121" s="737">
        <v>2016</v>
      </c>
      <c r="I121" s="636" t="s">
        <v>577</v>
      </c>
      <c r="J121" s="636" t="s">
        <v>582</v>
      </c>
      <c r="K121" s="50"/>
      <c r="L121" s="738"/>
      <c r="M121" s="739"/>
      <c r="N121" s="739"/>
      <c r="O121" s="739"/>
      <c r="P121" s="739"/>
      <c r="Q121" s="739">
        <v>2</v>
      </c>
      <c r="R121" s="739">
        <v>2</v>
      </c>
      <c r="S121" s="739">
        <v>2</v>
      </c>
      <c r="T121" s="739">
        <v>2</v>
      </c>
      <c r="U121" s="739">
        <v>2</v>
      </c>
      <c r="V121" s="739">
        <v>2</v>
      </c>
      <c r="W121" s="739">
        <v>2</v>
      </c>
      <c r="X121" s="739">
        <v>2</v>
      </c>
      <c r="Y121" s="739">
        <v>2</v>
      </c>
      <c r="Z121" s="739">
        <v>2</v>
      </c>
      <c r="AA121" s="739">
        <v>2</v>
      </c>
      <c r="AB121" s="739">
        <v>2</v>
      </c>
      <c r="AC121" s="739">
        <v>2</v>
      </c>
      <c r="AD121" s="739">
        <v>2</v>
      </c>
      <c r="AE121" s="739">
        <v>2</v>
      </c>
      <c r="AF121" s="739">
        <v>2</v>
      </c>
      <c r="AG121" s="739">
        <v>2</v>
      </c>
      <c r="AH121" s="739">
        <v>2</v>
      </c>
      <c r="AI121" s="739">
        <v>2</v>
      </c>
      <c r="AJ121" s="739">
        <v>0</v>
      </c>
      <c r="AK121" s="739">
        <v>0</v>
      </c>
      <c r="AL121" s="739">
        <v>0</v>
      </c>
      <c r="AM121" s="739">
        <v>0</v>
      </c>
      <c r="AN121" s="739">
        <v>0</v>
      </c>
      <c r="AO121" s="740">
        <v>0</v>
      </c>
      <c r="AP121" s="50"/>
      <c r="AQ121" s="738"/>
      <c r="AR121" s="739"/>
      <c r="AS121" s="739"/>
      <c r="AT121" s="739"/>
      <c r="AU121" s="739"/>
      <c r="AV121" s="739">
        <v>5836</v>
      </c>
      <c r="AW121" s="739">
        <v>5836</v>
      </c>
      <c r="AX121" s="739">
        <v>5836</v>
      </c>
      <c r="AY121" s="739">
        <v>5836</v>
      </c>
      <c r="AZ121" s="739">
        <v>5836</v>
      </c>
      <c r="BA121" s="739">
        <v>5836</v>
      </c>
      <c r="BB121" s="739">
        <v>5836</v>
      </c>
      <c r="BC121" s="739">
        <v>5836</v>
      </c>
      <c r="BD121" s="739">
        <v>5836</v>
      </c>
      <c r="BE121" s="739">
        <v>5836</v>
      </c>
      <c r="BF121" s="739">
        <v>5836</v>
      </c>
      <c r="BG121" s="739">
        <v>5836</v>
      </c>
      <c r="BH121" s="739">
        <v>5836</v>
      </c>
      <c r="BI121" s="739">
        <v>5836</v>
      </c>
      <c r="BJ121" s="739">
        <v>5836</v>
      </c>
      <c r="BK121" s="739">
        <v>5836</v>
      </c>
      <c r="BL121" s="739">
        <v>5836</v>
      </c>
      <c r="BM121" s="739">
        <v>5836</v>
      </c>
      <c r="BN121" s="739">
        <v>5741</v>
      </c>
      <c r="BO121" s="739">
        <v>0</v>
      </c>
      <c r="BP121" s="739">
        <v>0</v>
      </c>
      <c r="BQ121" s="739">
        <v>0</v>
      </c>
      <c r="BR121" s="739">
        <v>0</v>
      </c>
      <c r="BS121" s="739">
        <v>0</v>
      </c>
      <c r="BT121" s="740">
        <v>0</v>
      </c>
      <c r="BU121" s="163"/>
    </row>
    <row r="122" spans="2:73" ht="15.5">
      <c r="B122" s="737"/>
      <c r="C122" s="737"/>
      <c r="D122" s="737" t="s">
        <v>118</v>
      </c>
      <c r="E122" s="737" t="s">
        <v>745</v>
      </c>
      <c r="F122" s="737"/>
      <c r="G122" s="737"/>
      <c r="H122" s="737">
        <v>2016</v>
      </c>
      <c r="I122" s="636" t="s">
        <v>577</v>
      </c>
      <c r="J122" s="636" t="s">
        <v>582</v>
      </c>
      <c r="K122" s="50"/>
      <c r="L122" s="738"/>
      <c r="M122" s="739"/>
      <c r="N122" s="739"/>
      <c r="O122" s="739"/>
      <c r="P122" s="739"/>
      <c r="Q122" s="739">
        <v>84</v>
      </c>
      <c r="R122" s="739">
        <v>89</v>
      </c>
      <c r="S122" s="739">
        <v>89</v>
      </c>
      <c r="T122" s="739">
        <v>89</v>
      </c>
      <c r="U122" s="739">
        <v>89</v>
      </c>
      <c r="V122" s="739">
        <v>89</v>
      </c>
      <c r="W122" s="739">
        <v>89</v>
      </c>
      <c r="X122" s="739">
        <v>89</v>
      </c>
      <c r="Y122" s="739">
        <v>89</v>
      </c>
      <c r="Z122" s="739">
        <v>89</v>
      </c>
      <c r="AA122" s="739">
        <v>89</v>
      </c>
      <c r="AB122" s="739">
        <v>84</v>
      </c>
      <c r="AC122" s="739">
        <v>78</v>
      </c>
      <c r="AD122" s="739">
        <v>78</v>
      </c>
      <c r="AE122" s="739">
        <v>5</v>
      </c>
      <c r="AF122" s="739">
        <v>0</v>
      </c>
      <c r="AG122" s="739">
        <v>0</v>
      </c>
      <c r="AH122" s="739">
        <v>0</v>
      </c>
      <c r="AI122" s="739">
        <v>0</v>
      </c>
      <c r="AJ122" s="739">
        <v>0</v>
      </c>
      <c r="AK122" s="739">
        <v>0</v>
      </c>
      <c r="AL122" s="739">
        <v>0</v>
      </c>
      <c r="AM122" s="739">
        <v>0</v>
      </c>
      <c r="AN122" s="739">
        <v>0</v>
      </c>
      <c r="AO122" s="740">
        <v>0</v>
      </c>
      <c r="AP122" s="50"/>
      <c r="AQ122" s="738"/>
      <c r="AR122" s="739"/>
      <c r="AS122" s="739"/>
      <c r="AT122" s="739"/>
      <c r="AU122" s="739"/>
      <c r="AV122" s="739">
        <v>1259829</v>
      </c>
      <c r="AW122" s="739">
        <v>1279544</v>
      </c>
      <c r="AX122" s="739">
        <v>1279544</v>
      </c>
      <c r="AY122" s="739">
        <v>1279544</v>
      </c>
      <c r="AZ122" s="739">
        <v>1279544</v>
      </c>
      <c r="BA122" s="739">
        <v>1279544</v>
      </c>
      <c r="BB122" s="739">
        <v>1279544</v>
      </c>
      <c r="BC122" s="739">
        <v>1279544</v>
      </c>
      <c r="BD122" s="739">
        <v>1279544</v>
      </c>
      <c r="BE122" s="739">
        <v>1279544</v>
      </c>
      <c r="BF122" s="739">
        <v>1279544</v>
      </c>
      <c r="BG122" s="739">
        <v>1254595</v>
      </c>
      <c r="BH122" s="739">
        <v>915611</v>
      </c>
      <c r="BI122" s="739">
        <v>915611</v>
      </c>
      <c r="BJ122" s="739">
        <v>63146</v>
      </c>
      <c r="BK122" s="739">
        <v>0</v>
      </c>
      <c r="BL122" s="739">
        <v>0</v>
      </c>
      <c r="BM122" s="739">
        <v>0</v>
      </c>
      <c r="BN122" s="739">
        <v>0</v>
      </c>
      <c r="BO122" s="739">
        <v>0</v>
      </c>
      <c r="BP122" s="739">
        <v>0</v>
      </c>
      <c r="BQ122" s="739">
        <v>0</v>
      </c>
      <c r="BR122" s="739">
        <v>0</v>
      </c>
      <c r="BS122" s="739">
        <v>0</v>
      </c>
      <c r="BT122" s="740">
        <v>0</v>
      </c>
      <c r="BU122" s="163"/>
    </row>
    <row r="123" spans="2:72" ht="14.5">
      <c r="B123" s="737"/>
      <c r="C123" s="737"/>
      <c r="D123" s="737" t="s">
        <v>113</v>
      </c>
      <c r="E123" s="737" t="s">
        <v>745</v>
      </c>
      <c r="F123" s="737"/>
      <c r="G123" s="737"/>
      <c r="H123" s="737">
        <v>2017</v>
      </c>
      <c r="I123" s="636" t="s">
        <v>577</v>
      </c>
      <c r="J123" s="636" t="s">
        <v>589</v>
      </c>
      <c r="K123" s="50"/>
      <c r="L123" s="738"/>
      <c r="M123" s="739"/>
      <c r="N123" s="739"/>
      <c r="O123" s="739"/>
      <c r="P123" s="739"/>
      <c r="Q123" s="739"/>
      <c r="R123" s="739">
        <v>192</v>
      </c>
      <c r="S123" s="739">
        <v>156</v>
      </c>
      <c r="T123" s="739">
        <v>156</v>
      </c>
      <c r="U123" s="739">
        <v>156</v>
      </c>
      <c r="V123" s="739">
        <v>156</v>
      </c>
      <c r="W123" s="739">
        <v>156</v>
      </c>
      <c r="X123" s="739">
        <v>156</v>
      </c>
      <c r="Y123" s="739">
        <v>156</v>
      </c>
      <c r="Z123" s="739">
        <v>156</v>
      </c>
      <c r="AA123" s="739">
        <v>156</v>
      </c>
      <c r="AB123" s="739">
        <v>146</v>
      </c>
      <c r="AC123" s="739">
        <v>146</v>
      </c>
      <c r="AD123" s="739">
        <v>146</v>
      </c>
      <c r="AE123" s="739">
        <v>146</v>
      </c>
      <c r="AF123" s="739">
        <v>124</v>
      </c>
      <c r="AG123" s="739">
        <v>124</v>
      </c>
      <c r="AH123" s="739">
        <v>15</v>
      </c>
      <c r="AI123" s="739">
        <v>0</v>
      </c>
      <c r="AJ123" s="739">
        <v>0</v>
      </c>
      <c r="AK123" s="739">
        <v>0</v>
      </c>
      <c r="AL123" s="739">
        <v>0</v>
      </c>
      <c r="AM123" s="739">
        <v>0</v>
      </c>
      <c r="AN123" s="739">
        <v>0</v>
      </c>
      <c r="AO123" s="740">
        <v>0</v>
      </c>
      <c r="AP123" s="50"/>
      <c r="AQ123" s="738"/>
      <c r="AR123" s="739"/>
      <c r="AS123" s="739"/>
      <c r="AT123" s="739"/>
      <c r="AU123" s="739"/>
      <c r="AV123" s="739"/>
      <c r="AW123" s="739">
        <v>2771539</v>
      </c>
      <c r="AX123" s="739">
        <v>2230710</v>
      </c>
      <c r="AY123" s="739">
        <v>2230710</v>
      </c>
      <c r="AZ123" s="739">
        <v>2230710</v>
      </c>
      <c r="BA123" s="739">
        <v>2230710</v>
      </c>
      <c r="BB123" s="739">
        <v>2230710</v>
      </c>
      <c r="BC123" s="739">
        <v>2230710</v>
      </c>
      <c r="BD123" s="739">
        <v>2230687</v>
      </c>
      <c r="BE123" s="739">
        <v>2230687</v>
      </c>
      <c r="BF123" s="739">
        <v>2225156</v>
      </c>
      <c r="BG123" s="739">
        <v>2178198</v>
      </c>
      <c r="BH123" s="739">
        <v>2177831</v>
      </c>
      <c r="BI123" s="739">
        <v>2177831</v>
      </c>
      <c r="BJ123" s="739">
        <v>2177659</v>
      </c>
      <c r="BK123" s="739">
        <v>1848301</v>
      </c>
      <c r="BL123" s="739">
        <v>1848301</v>
      </c>
      <c r="BM123" s="739">
        <v>218921</v>
      </c>
      <c r="BN123" s="739">
        <v>0</v>
      </c>
      <c r="BO123" s="739">
        <v>0</v>
      </c>
      <c r="BP123" s="739">
        <v>0</v>
      </c>
      <c r="BQ123" s="739">
        <v>0</v>
      </c>
      <c r="BR123" s="739">
        <v>0</v>
      </c>
      <c r="BS123" s="739">
        <v>0</v>
      </c>
      <c r="BT123" s="740">
        <v>0</v>
      </c>
    </row>
    <row r="124" spans="2:72" ht="14.5">
      <c r="B124" s="737"/>
      <c r="C124" s="737"/>
      <c r="D124" s="737" t="s">
        <v>768</v>
      </c>
      <c r="E124" s="737" t="s">
        <v>745</v>
      </c>
      <c r="F124" s="737"/>
      <c r="G124" s="737"/>
      <c r="H124" s="737">
        <v>2017</v>
      </c>
      <c r="I124" s="636" t="s">
        <v>577</v>
      </c>
      <c r="J124" s="636" t="s">
        <v>589</v>
      </c>
      <c r="K124" s="50"/>
      <c r="L124" s="738"/>
      <c r="M124" s="739"/>
      <c r="N124" s="739"/>
      <c r="O124" s="739"/>
      <c r="P124" s="739"/>
      <c r="Q124" s="739"/>
      <c r="R124" s="739">
        <v>179</v>
      </c>
      <c r="S124" s="739">
        <v>131</v>
      </c>
      <c r="T124" s="739">
        <v>131</v>
      </c>
      <c r="U124" s="739">
        <v>131</v>
      </c>
      <c r="V124" s="739">
        <v>131</v>
      </c>
      <c r="W124" s="739">
        <v>131</v>
      </c>
      <c r="X124" s="739">
        <v>131</v>
      </c>
      <c r="Y124" s="739">
        <v>131</v>
      </c>
      <c r="Z124" s="739">
        <v>131</v>
      </c>
      <c r="AA124" s="739">
        <v>131</v>
      </c>
      <c r="AB124" s="739">
        <v>124</v>
      </c>
      <c r="AC124" s="739">
        <v>124</v>
      </c>
      <c r="AD124" s="739">
        <v>124</v>
      </c>
      <c r="AE124" s="739">
        <v>105</v>
      </c>
      <c r="AF124" s="739">
        <v>105</v>
      </c>
      <c r="AG124" s="739">
        <v>81</v>
      </c>
      <c r="AH124" s="739">
        <v>64</v>
      </c>
      <c r="AI124" s="739">
        <v>0</v>
      </c>
      <c r="AJ124" s="739">
        <v>0</v>
      </c>
      <c r="AK124" s="739">
        <v>0</v>
      </c>
      <c r="AL124" s="739">
        <v>0</v>
      </c>
      <c r="AM124" s="739">
        <v>0</v>
      </c>
      <c r="AN124" s="739">
        <v>0</v>
      </c>
      <c r="AO124" s="740">
        <v>0</v>
      </c>
      <c r="AP124" s="50"/>
      <c r="AQ124" s="738"/>
      <c r="AR124" s="739"/>
      <c r="AS124" s="739"/>
      <c r="AT124" s="739"/>
      <c r="AU124" s="739"/>
      <c r="AV124" s="739"/>
      <c r="AW124" s="739">
        <v>2611264</v>
      </c>
      <c r="AX124" s="739">
        <v>1891047</v>
      </c>
      <c r="AY124" s="739">
        <v>1891047</v>
      </c>
      <c r="AZ124" s="739">
        <v>1891047</v>
      </c>
      <c r="BA124" s="739">
        <v>1891047</v>
      </c>
      <c r="BB124" s="739">
        <v>1891047</v>
      </c>
      <c r="BC124" s="739">
        <v>1891047</v>
      </c>
      <c r="BD124" s="739">
        <v>1891011</v>
      </c>
      <c r="BE124" s="739">
        <v>1891011</v>
      </c>
      <c r="BF124" s="739">
        <v>1891011</v>
      </c>
      <c r="BG124" s="739">
        <v>1856583</v>
      </c>
      <c r="BH124" s="739">
        <v>1853347</v>
      </c>
      <c r="BI124" s="739">
        <v>1853347</v>
      </c>
      <c r="BJ124" s="739">
        <v>1564901</v>
      </c>
      <c r="BK124" s="739">
        <v>1564901</v>
      </c>
      <c r="BL124" s="739">
        <v>1212087</v>
      </c>
      <c r="BM124" s="739">
        <v>960667</v>
      </c>
      <c r="BN124" s="739">
        <v>0</v>
      </c>
      <c r="BO124" s="739">
        <v>0</v>
      </c>
      <c r="BP124" s="739">
        <v>0</v>
      </c>
      <c r="BQ124" s="739">
        <v>0</v>
      </c>
      <c r="BR124" s="739">
        <v>0</v>
      </c>
      <c r="BS124" s="739">
        <v>0</v>
      </c>
      <c r="BT124" s="740">
        <v>0</v>
      </c>
    </row>
    <row r="125" spans="2:72" ht="14.5">
      <c r="B125" s="737"/>
      <c r="C125" s="737"/>
      <c r="D125" s="737" t="s">
        <v>767</v>
      </c>
      <c r="E125" s="737" t="s">
        <v>745</v>
      </c>
      <c r="F125" s="737"/>
      <c r="G125" s="737"/>
      <c r="H125" s="737">
        <v>2017</v>
      </c>
      <c r="I125" s="636" t="s">
        <v>577</v>
      </c>
      <c r="J125" s="636" t="s">
        <v>589</v>
      </c>
      <c r="K125" s="50"/>
      <c r="L125" s="738"/>
      <c r="M125" s="739"/>
      <c r="N125" s="739"/>
      <c r="O125" s="739"/>
      <c r="P125" s="739"/>
      <c r="Q125" s="739"/>
      <c r="R125" s="739">
        <v>107</v>
      </c>
      <c r="S125" s="739">
        <v>107</v>
      </c>
      <c r="T125" s="739">
        <v>107</v>
      </c>
      <c r="U125" s="739">
        <v>107</v>
      </c>
      <c r="V125" s="739">
        <v>107</v>
      </c>
      <c r="W125" s="739">
        <v>107</v>
      </c>
      <c r="X125" s="739">
        <v>107</v>
      </c>
      <c r="Y125" s="739">
        <v>107</v>
      </c>
      <c r="Z125" s="739">
        <v>107</v>
      </c>
      <c r="AA125" s="739">
        <v>107</v>
      </c>
      <c r="AB125" s="739">
        <v>107</v>
      </c>
      <c r="AC125" s="739">
        <v>107</v>
      </c>
      <c r="AD125" s="739">
        <v>107</v>
      </c>
      <c r="AE125" s="739">
        <v>107</v>
      </c>
      <c r="AF125" s="739">
        <v>107</v>
      </c>
      <c r="AG125" s="739">
        <v>107</v>
      </c>
      <c r="AH125" s="739">
        <v>107</v>
      </c>
      <c r="AI125" s="739">
        <v>107</v>
      </c>
      <c r="AJ125" s="739">
        <v>98</v>
      </c>
      <c r="AK125" s="739">
        <v>0</v>
      </c>
      <c r="AL125" s="739">
        <v>0</v>
      </c>
      <c r="AM125" s="739">
        <v>0</v>
      </c>
      <c r="AN125" s="739">
        <v>0</v>
      </c>
      <c r="AO125" s="740">
        <v>0</v>
      </c>
      <c r="AP125" s="50"/>
      <c r="AQ125" s="738"/>
      <c r="AR125" s="739"/>
      <c r="AS125" s="739"/>
      <c r="AT125" s="739"/>
      <c r="AU125" s="739"/>
      <c r="AV125" s="739"/>
      <c r="AW125" s="739">
        <v>385017</v>
      </c>
      <c r="AX125" s="739">
        <v>385017</v>
      </c>
      <c r="AY125" s="739">
        <v>385017</v>
      </c>
      <c r="AZ125" s="739">
        <v>385017</v>
      </c>
      <c r="BA125" s="739">
        <v>385017</v>
      </c>
      <c r="BB125" s="739">
        <v>385017</v>
      </c>
      <c r="BC125" s="739">
        <v>385017</v>
      </c>
      <c r="BD125" s="739">
        <v>385017</v>
      </c>
      <c r="BE125" s="739">
        <v>385017</v>
      </c>
      <c r="BF125" s="739">
        <v>385017</v>
      </c>
      <c r="BG125" s="739">
        <v>385017</v>
      </c>
      <c r="BH125" s="739">
        <v>385017</v>
      </c>
      <c r="BI125" s="739">
        <v>385017</v>
      </c>
      <c r="BJ125" s="739">
        <v>385017</v>
      </c>
      <c r="BK125" s="739">
        <v>385017</v>
      </c>
      <c r="BL125" s="739">
        <v>385017</v>
      </c>
      <c r="BM125" s="739">
        <v>385017</v>
      </c>
      <c r="BN125" s="739">
        <v>385017</v>
      </c>
      <c r="BO125" s="739">
        <v>363415</v>
      </c>
      <c r="BP125" s="739">
        <v>0</v>
      </c>
      <c r="BQ125" s="739">
        <v>0</v>
      </c>
      <c r="BR125" s="739">
        <v>0</v>
      </c>
      <c r="BS125" s="739">
        <v>0</v>
      </c>
      <c r="BT125" s="740">
        <v>0</v>
      </c>
    </row>
    <row r="126" spans="2:72" ht="14.5">
      <c r="B126" s="737"/>
      <c r="C126" s="737"/>
      <c r="D126" s="737" t="s">
        <v>118</v>
      </c>
      <c r="E126" s="737" t="s">
        <v>745</v>
      </c>
      <c r="F126" s="737"/>
      <c r="G126" s="737"/>
      <c r="H126" s="737">
        <v>2017</v>
      </c>
      <c r="I126" s="636" t="s">
        <v>577</v>
      </c>
      <c r="J126" s="636" t="s">
        <v>589</v>
      </c>
      <c r="K126" s="50"/>
      <c r="L126" s="738"/>
      <c r="M126" s="739"/>
      <c r="N126" s="739"/>
      <c r="O126" s="739"/>
      <c r="P126" s="739"/>
      <c r="Q126" s="739"/>
      <c r="R126" s="739">
        <v>591</v>
      </c>
      <c r="S126" s="739">
        <v>592</v>
      </c>
      <c r="T126" s="739">
        <v>592</v>
      </c>
      <c r="U126" s="739">
        <v>592</v>
      </c>
      <c r="V126" s="739">
        <v>592</v>
      </c>
      <c r="W126" s="739">
        <v>571</v>
      </c>
      <c r="X126" s="739">
        <v>571</v>
      </c>
      <c r="Y126" s="739">
        <v>571</v>
      </c>
      <c r="Z126" s="739">
        <v>571</v>
      </c>
      <c r="AA126" s="739">
        <v>571</v>
      </c>
      <c r="AB126" s="739">
        <v>563</v>
      </c>
      <c r="AC126" s="739">
        <v>535</v>
      </c>
      <c r="AD126" s="739">
        <v>217</v>
      </c>
      <c r="AE126" s="739">
        <v>164</v>
      </c>
      <c r="AF126" s="739">
        <v>14</v>
      </c>
      <c r="AG126" s="739">
        <v>0</v>
      </c>
      <c r="AH126" s="739">
        <v>0</v>
      </c>
      <c r="AI126" s="739">
        <v>0</v>
      </c>
      <c r="AJ126" s="739">
        <v>0</v>
      </c>
      <c r="AK126" s="739">
        <v>0</v>
      </c>
      <c r="AL126" s="739">
        <v>0</v>
      </c>
      <c r="AM126" s="739">
        <v>0</v>
      </c>
      <c r="AN126" s="739">
        <v>0</v>
      </c>
      <c r="AO126" s="740">
        <v>0</v>
      </c>
      <c r="AP126" s="50"/>
      <c r="AQ126" s="738"/>
      <c r="AR126" s="739"/>
      <c r="AS126" s="739"/>
      <c r="AT126" s="739"/>
      <c r="AU126" s="739"/>
      <c r="AV126" s="739"/>
      <c r="AW126" s="739">
        <v>2780342</v>
      </c>
      <c r="AX126" s="739">
        <v>2784605</v>
      </c>
      <c r="AY126" s="739">
        <v>2784605</v>
      </c>
      <c r="AZ126" s="739">
        <v>2784605</v>
      </c>
      <c r="BA126" s="739">
        <v>2784605</v>
      </c>
      <c r="BB126" s="739">
        <v>2681722</v>
      </c>
      <c r="BC126" s="739">
        <v>2681722</v>
      </c>
      <c r="BD126" s="739">
        <v>2681722</v>
      </c>
      <c r="BE126" s="739">
        <v>2680749</v>
      </c>
      <c r="BF126" s="739">
        <v>2680749</v>
      </c>
      <c r="BG126" s="739">
        <v>2646596</v>
      </c>
      <c r="BH126" s="739">
        <v>2575262</v>
      </c>
      <c r="BI126" s="739">
        <v>712106</v>
      </c>
      <c r="BJ126" s="739">
        <v>575184</v>
      </c>
      <c r="BK126" s="739">
        <v>47901</v>
      </c>
      <c r="BL126" s="739">
        <v>0</v>
      </c>
      <c r="BM126" s="739">
        <v>0</v>
      </c>
      <c r="BN126" s="739">
        <v>0</v>
      </c>
      <c r="BO126" s="739">
        <v>0</v>
      </c>
      <c r="BP126" s="739">
        <v>0</v>
      </c>
      <c r="BQ126" s="739">
        <v>0</v>
      </c>
      <c r="BR126" s="739">
        <v>0</v>
      </c>
      <c r="BS126" s="739">
        <v>0</v>
      </c>
      <c r="BT126" s="740">
        <v>0</v>
      </c>
    </row>
    <row r="127" spans="2:72" ht="14.5">
      <c r="B127" s="737"/>
      <c r="C127" s="737"/>
      <c r="D127" s="737" t="s">
        <v>769</v>
      </c>
      <c r="E127" s="737" t="s">
        <v>745</v>
      </c>
      <c r="F127" s="737"/>
      <c r="G127" s="737"/>
      <c r="H127" s="737">
        <v>2017</v>
      </c>
      <c r="I127" s="636" t="s">
        <v>577</v>
      </c>
      <c r="J127" s="636" t="s">
        <v>589</v>
      </c>
      <c r="K127" s="50"/>
      <c r="L127" s="738"/>
      <c r="M127" s="739"/>
      <c r="N127" s="739"/>
      <c r="O127" s="739"/>
      <c r="P127" s="739"/>
      <c r="Q127" s="739"/>
      <c r="R127" s="739">
        <v>33</v>
      </c>
      <c r="S127" s="739">
        <v>33</v>
      </c>
      <c r="T127" s="739">
        <v>33</v>
      </c>
      <c r="U127" s="739">
        <v>33</v>
      </c>
      <c r="V127" s="739">
        <v>33</v>
      </c>
      <c r="W127" s="739">
        <v>33</v>
      </c>
      <c r="X127" s="739">
        <v>33</v>
      </c>
      <c r="Y127" s="739">
        <v>33</v>
      </c>
      <c r="Z127" s="739">
        <v>33</v>
      </c>
      <c r="AA127" s="739">
        <v>33</v>
      </c>
      <c r="AB127" s="739">
        <v>0</v>
      </c>
      <c r="AC127" s="739">
        <v>0</v>
      </c>
      <c r="AD127" s="739">
        <v>0</v>
      </c>
      <c r="AE127" s="739">
        <v>0</v>
      </c>
      <c r="AF127" s="739">
        <v>0</v>
      </c>
      <c r="AG127" s="739">
        <v>0</v>
      </c>
      <c r="AH127" s="739">
        <v>0</v>
      </c>
      <c r="AI127" s="739">
        <v>0</v>
      </c>
      <c r="AJ127" s="739">
        <v>0</v>
      </c>
      <c r="AK127" s="739">
        <v>0</v>
      </c>
      <c r="AL127" s="739">
        <v>0</v>
      </c>
      <c r="AM127" s="739">
        <v>0</v>
      </c>
      <c r="AN127" s="739">
        <v>0</v>
      </c>
      <c r="AO127" s="740">
        <v>0</v>
      </c>
      <c r="AP127" s="50"/>
      <c r="AQ127" s="738"/>
      <c r="AR127" s="739"/>
      <c r="AS127" s="739"/>
      <c r="AT127" s="739"/>
      <c r="AU127" s="739"/>
      <c r="AV127" s="739"/>
      <c r="AW127" s="739">
        <v>170819</v>
      </c>
      <c r="AX127" s="739">
        <v>170819</v>
      </c>
      <c r="AY127" s="739">
        <v>170819</v>
      </c>
      <c r="AZ127" s="739">
        <v>170819</v>
      </c>
      <c r="BA127" s="739">
        <v>170819</v>
      </c>
      <c r="BB127" s="739">
        <v>170819</v>
      </c>
      <c r="BC127" s="739">
        <v>170819</v>
      </c>
      <c r="BD127" s="739">
        <v>170819</v>
      </c>
      <c r="BE127" s="739">
        <v>170819</v>
      </c>
      <c r="BF127" s="739">
        <v>170819</v>
      </c>
      <c r="BG127" s="739">
        <v>0</v>
      </c>
      <c r="BH127" s="739">
        <v>0</v>
      </c>
      <c r="BI127" s="739">
        <v>0</v>
      </c>
      <c r="BJ127" s="739">
        <v>0</v>
      </c>
      <c r="BK127" s="739">
        <v>0</v>
      </c>
      <c r="BL127" s="739">
        <v>0</v>
      </c>
      <c r="BM127" s="739">
        <v>0</v>
      </c>
      <c r="BN127" s="739">
        <v>0</v>
      </c>
      <c r="BO127" s="739">
        <v>0</v>
      </c>
      <c r="BP127" s="739">
        <v>0</v>
      </c>
      <c r="BQ127" s="739">
        <v>0</v>
      </c>
      <c r="BR127" s="739">
        <v>0</v>
      </c>
      <c r="BS127" s="739">
        <v>0</v>
      </c>
      <c r="BT127" s="740">
        <v>0</v>
      </c>
    </row>
    <row r="128" spans="2:72" ht="14.5">
      <c r="B128" s="737"/>
      <c r="C128" s="737"/>
      <c r="D128" s="737" t="s">
        <v>770</v>
      </c>
      <c r="E128" s="737" t="s">
        <v>745</v>
      </c>
      <c r="F128" s="737"/>
      <c r="G128" s="737"/>
      <c r="H128" s="737">
        <v>2017</v>
      </c>
      <c r="I128" s="636" t="s">
        <v>577</v>
      </c>
      <c r="J128" s="636" t="s">
        <v>589</v>
      </c>
      <c r="K128" s="50"/>
      <c r="L128" s="738"/>
      <c r="M128" s="739"/>
      <c r="N128" s="739"/>
      <c r="O128" s="739"/>
      <c r="P128" s="739"/>
      <c r="Q128" s="739"/>
      <c r="R128" s="739">
        <v>10</v>
      </c>
      <c r="S128" s="739">
        <v>10</v>
      </c>
      <c r="T128" s="739">
        <v>10</v>
      </c>
      <c r="U128" s="739">
        <v>10</v>
      </c>
      <c r="V128" s="739">
        <v>10</v>
      </c>
      <c r="W128" s="739">
        <v>10</v>
      </c>
      <c r="X128" s="739">
        <v>10</v>
      </c>
      <c r="Y128" s="739">
        <v>10</v>
      </c>
      <c r="Z128" s="739">
        <v>10</v>
      </c>
      <c r="AA128" s="739">
        <v>10</v>
      </c>
      <c r="AB128" s="739">
        <v>10</v>
      </c>
      <c r="AC128" s="739">
        <v>10</v>
      </c>
      <c r="AD128" s="739">
        <v>10</v>
      </c>
      <c r="AE128" s="739">
        <v>10</v>
      </c>
      <c r="AF128" s="739">
        <v>10</v>
      </c>
      <c r="AG128" s="739">
        <v>10</v>
      </c>
      <c r="AH128" s="739">
        <v>10</v>
      </c>
      <c r="AI128" s="739">
        <v>10</v>
      </c>
      <c r="AJ128" s="739">
        <v>8</v>
      </c>
      <c r="AK128" s="739">
        <v>6</v>
      </c>
      <c r="AL128" s="739">
        <v>0</v>
      </c>
      <c r="AM128" s="739">
        <v>0</v>
      </c>
      <c r="AN128" s="739">
        <v>0</v>
      </c>
      <c r="AO128" s="740">
        <v>0</v>
      </c>
      <c r="AP128" s="50"/>
      <c r="AQ128" s="738"/>
      <c r="AR128" s="739"/>
      <c r="AS128" s="739"/>
      <c r="AT128" s="739"/>
      <c r="AU128" s="739"/>
      <c r="AV128" s="739"/>
      <c r="AW128" s="739">
        <v>50819</v>
      </c>
      <c r="AX128" s="739">
        <v>50819</v>
      </c>
      <c r="AY128" s="739">
        <v>50819</v>
      </c>
      <c r="AZ128" s="739">
        <v>50819</v>
      </c>
      <c r="BA128" s="739">
        <v>50535</v>
      </c>
      <c r="BB128" s="739">
        <v>50200</v>
      </c>
      <c r="BC128" s="739">
        <v>50200</v>
      </c>
      <c r="BD128" s="739">
        <v>50200</v>
      </c>
      <c r="BE128" s="739">
        <v>50200</v>
      </c>
      <c r="BF128" s="739">
        <v>50200</v>
      </c>
      <c r="BG128" s="739">
        <v>50200</v>
      </c>
      <c r="BH128" s="739">
        <v>50200</v>
      </c>
      <c r="BI128" s="739">
        <v>50200</v>
      </c>
      <c r="BJ128" s="739">
        <v>50200</v>
      </c>
      <c r="BK128" s="739">
        <v>50200</v>
      </c>
      <c r="BL128" s="739">
        <v>49864</v>
      </c>
      <c r="BM128" s="739">
        <v>49864</v>
      </c>
      <c r="BN128" s="739">
        <v>49822</v>
      </c>
      <c r="BO128" s="739">
        <v>48699</v>
      </c>
      <c r="BP128" s="739">
        <v>16815</v>
      </c>
      <c r="BQ128" s="739">
        <v>0</v>
      </c>
      <c r="BR128" s="739">
        <v>0</v>
      </c>
      <c r="BS128" s="739">
        <v>0</v>
      </c>
      <c r="BT128" s="740">
        <v>0</v>
      </c>
    </row>
    <row r="129" spans="2:72" ht="14.5">
      <c r="B129" s="737"/>
      <c r="C129" s="737"/>
      <c r="D129" s="741" t="s">
        <v>114</v>
      </c>
      <c r="E129" s="737" t="s">
        <v>745</v>
      </c>
      <c r="F129" s="737"/>
      <c r="G129" s="737"/>
      <c r="H129" s="737">
        <v>2018</v>
      </c>
      <c r="I129" s="636" t="s">
        <v>579</v>
      </c>
      <c r="J129" s="636" t="s">
        <v>589</v>
      </c>
      <c r="K129" s="50"/>
      <c r="L129" s="738"/>
      <c r="M129" s="739"/>
      <c r="N129" s="739"/>
      <c r="O129" s="739"/>
      <c r="P129" s="739"/>
      <c r="Q129" s="739"/>
      <c r="R129" s="739"/>
      <c r="S129" s="739">
        <f>AX129*((R118+R121+R125)/(AW118+AW121+AW125))</f>
        <v>55.919802072760184</v>
      </c>
      <c r="T129" s="739">
        <f t="shared" si="0" ref="T129:U129">AY129*((S118+S121+S125)/(AX118+AX121+AX125))</f>
        <v>55.919802072760184</v>
      </c>
      <c r="U129" s="739">
        <f t="shared" si="0"/>
        <v>55.919802072760184</v>
      </c>
      <c r="V129" s="739"/>
      <c r="W129" s="739"/>
      <c r="X129" s="739"/>
      <c r="Y129" s="739"/>
      <c r="Z129" s="739"/>
      <c r="AA129" s="739"/>
      <c r="AB129" s="739"/>
      <c r="AC129" s="739"/>
      <c r="AD129" s="739"/>
      <c r="AE129" s="739"/>
      <c r="AF129" s="739"/>
      <c r="AG129" s="739"/>
      <c r="AH129" s="739"/>
      <c r="AI129" s="739"/>
      <c r="AJ129" s="739"/>
      <c r="AK129" s="739"/>
      <c r="AL129" s="739"/>
      <c r="AM129" s="739"/>
      <c r="AN129" s="739"/>
      <c r="AO129" s="740"/>
      <c r="AP129" s="50"/>
      <c r="AQ129" s="738"/>
      <c r="AR129" s="739"/>
      <c r="AS129" s="739"/>
      <c r="AT129" s="739"/>
      <c r="AU129" s="739"/>
      <c r="AV129" s="739"/>
      <c r="AW129" s="739"/>
      <c r="AX129" s="739">
        <v>193098.0665325</v>
      </c>
      <c r="AY129" s="739">
        <f t="shared" si="1" ref="AY129:AY130">(AX129+AZ129)/2</f>
        <v>193098.0665325</v>
      </c>
      <c r="AZ129" s="739">
        <v>193098.0665325</v>
      </c>
      <c r="BA129" s="739"/>
      <c r="BB129" s="739"/>
      <c r="BC129" s="739"/>
      <c r="BD129" s="739"/>
      <c r="BE129" s="739"/>
      <c r="BF129" s="739"/>
      <c r="BG129" s="739"/>
      <c r="BH129" s="739"/>
      <c r="BI129" s="739"/>
      <c r="BJ129" s="739"/>
      <c r="BK129" s="739"/>
      <c r="BL129" s="739"/>
      <c r="BM129" s="739"/>
      <c r="BN129" s="739"/>
      <c r="BO129" s="739"/>
      <c r="BP129" s="739"/>
      <c r="BQ129" s="739"/>
      <c r="BR129" s="739"/>
      <c r="BS129" s="739"/>
      <c r="BT129" s="740"/>
    </row>
    <row r="130" spans="2:72" ht="14.5">
      <c r="B130" s="737"/>
      <c r="C130" s="737"/>
      <c r="D130" s="741" t="s">
        <v>768</v>
      </c>
      <c r="E130" s="737" t="s">
        <v>745</v>
      </c>
      <c r="F130" s="737"/>
      <c r="G130" s="737"/>
      <c r="H130" s="737">
        <v>2018</v>
      </c>
      <c r="I130" s="636" t="s">
        <v>579</v>
      </c>
      <c r="J130" s="636" t="s">
        <v>589</v>
      </c>
      <c r="K130" s="50"/>
      <c r="L130" s="738"/>
      <c r="M130" s="739"/>
      <c r="N130" s="739"/>
      <c r="O130" s="739"/>
      <c r="P130" s="739"/>
      <c r="Q130" s="739"/>
      <c r="R130" s="739"/>
      <c r="S130" s="739">
        <f>AX130*((R124)/(AW124))</f>
        <v>76.722509362588497</v>
      </c>
      <c r="T130" s="739">
        <f t="shared" si="2" ref="T130:U130">AY130*((S124)/(AX124))</f>
        <v>77.214836107454829</v>
      </c>
      <c r="U130" s="739">
        <f t="shared" si="2"/>
        <v>76.896148506257475</v>
      </c>
      <c r="V130" s="739"/>
      <c r="W130" s="739"/>
      <c r="X130" s="739"/>
      <c r="Y130" s="739"/>
      <c r="Z130" s="739"/>
      <c r="AA130" s="739"/>
      <c r="AB130" s="739"/>
      <c r="AC130" s="739"/>
      <c r="AD130" s="739"/>
      <c r="AE130" s="739"/>
      <c r="AF130" s="739"/>
      <c r="AG130" s="739"/>
      <c r="AH130" s="739"/>
      <c r="AI130" s="739"/>
      <c r="AJ130" s="739"/>
      <c r="AK130" s="739"/>
      <c r="AL130" s="739"/>
      <c r="AM130" s="739"/>
      <c r="AN130" s="739"/>
      <c r="AO130" s="740"/>
      <c r="AP130" s="50"/>
      <c r="AQ130" s="738"/>
      <c r="AR130" s="739"/>
      <c r="AS130" s="739"/>
      <c r="AT130" s="739"/>
      <c r="AU130" s="739"/>
      <c r="AV130" s="739"/>
      <c r="AW130" s="739"/>
      <c r="AX130" s="739">
        <v>1119233.1099898899</v>
      </c>
      <c r="AY130" s="739">
        <f t="shared" si="1"/>
        <v>1114632.7036373597</v>
      </c>
      <c r="AZ130" s="739">
        <v>1110032.2972848297</v>
      </c>
      <c r="BA130" s="739"/>
      <c r="BB130" s="739"/>
      <c r="BC130" s="739"/>
      <c r="BD130" s="739"/>
      <c r="BE130" s="739"/>
      <c r="BF130" s="739"/>
      <c r="BG130" s="739"/>
      <c r="BH130" s="739"/>
      <c r="BI130" s="739"/>
      <c r="BJ130" s="739"/>
      <c r="BK130" s="739"/>
      <c r="BL130" s="739"/>
      <c r="BM130" s="739"/>
      <c r="BN130" s="739"/>
      <c r="BO130" s="739"/>
      <c r="BP130" s="739"/>
      <c r="BQ130" s="739"/>
      <c r="BR130" s="739"/>
      <c r="BS130" s="739"/>
      <c r="BT130" s="740"/>
    </row>
    <row r="131" spans="2:72" ht="14.5">
      <c r="B131" s="737"/>
      <c r="C131" s="737"/>
      <c r="D131" s="741" t="s">
        <v>771</v>
      </c>
      <c r="E131" s="737" t="s">
        <v>745</v>
      </c>
      <c r="F131" s="737"/>
      <c r="G131" s="737"/>
      <c r="H131" s="737">
        <v>2018</v>
      </c>
      <c r="I131" s="636" t="s">
        <v>579</v>
      </c>
      <c r="J131" s="636" t="s">
        <v>589</v>
      </c>
      <c r="K131" s="50"/>
      <c r="L131" s="738"/>
      <c r="M131" s="739"/>
      <c r="N131" s="739"/>
      <c r="O131" s="739"/>
      <c r="P131" s="739"/>
      <c r="Q131" s="739"/>
      <c r="R131" s="739"/>
      <c r="S131" s="739">
        <f>AX131*(P113/AU113)</f>
        <v>29.083810843145898</v>
      </c>
      <c r="T131" s="739">
        <f>AY131*(Q113/AV113)</f>
        <v>29.083810843145898</v>
      </c>
      <c r="U131" s="739">
        <f t="shared" si="3" ref="U131">AZ131*(R113/AW113)</f>
        <v>29.083810843145898</v>
      </c>
      <c r="V131" s="739"/>
      <c r="W131" s="739"/>
      <c r="X131" s="739"/>
      <c r="Y131" s="739"/>
      <c r="Z131" s="739"/>
      <c r="AA131" s="739"/>
      <c r="AB131" s="739"/>
      <c r="AC131" s="739"/>
      <c r="AD131" s="739"/>
      <c r="AE131" s="739"/>
      <c r="AF131" s="739"/>
      <c r="AG131" s="739"/>
      <c r="AH131" s="739"/>
      <c r="AI131" s="739"/>
      <c r="AJ131" s="739"/>
      <c r="AK131" s="739"/>
      <c r="AL131" s="739"/>
      <c r="AM131" s="739"/>
      <c r="AN131" s="739"/>
      <c r="AO131" s="740"/>
      <c r="AP131" s="50"/>
      <c r="AQ131" s="738"/>
      <c r="AR131" s="739"/>
      <c r="AS131" s="739"/>
      <c r="AT131" s="739"/>
      <c r="AU131" s="739"/>
      <c r="AV131" s="739"/>
      <c r="AW131" s="739"/>
      <c r="AX131" s="739">
        <v>57735</v>
      </c>
      <c r="AY131" s="739">
        <f>(AX131+AZ131)/2</f>
        <v>57735</v>
      </c>
      <c r="AZ131" s="739">
        <v>57735</v>
      </c>
      <c r="BA131" s="739"/>
      <c r="BB131" s="739"/>
      <c r="BC131" s="739"/>
      <c r="BD131" s="739"/>
      <c r="BE131" s="739"/>
      <c r="BF131" s="739"/>
      <c r="BG131" s="739"/>
      <c r="BH131" s="739"/>
      <c r="BI131" s="739"/>
      <c r="BJ131" s="739"/>
      <c r="BK131" s="739"/>
      <c r="BL131" s="739"/>
      <c r="BM131" s="739"/>
      <c r="BN131" s="739"/>
      <c r="BO131" s="739"/>
      <c r="BP131" s="739"/>
      <c r="BQ131" s="739"/>
      <c r="BR131" s="739"/>
      <c r="BS131" s="739"/>
      <c r="BT131" s="740"/>
    </row>
    <row r="132" spans="2:72" ht="14.5">
      <c r="B132" s="737"/>
      <c r="C132" s="737"/>
      <c r="D132" s="741" t="s">
        <v>118</v>
      </c>
      <c r="E132" s="737" t="s">
        <v>745</v>
      </c>
      <c r="F132" s="737"/>
      <c r="G132" s="737"/>
      <c r="H132" s="737">
        <v>2018</v>
      </c>
      <c r="I132" s="636" t="s">
        <v>579</v>
      </c>
      <c r="J132" s="636" t="s">
        <v>589</v>
      </c>
      <c r="K132" s="50"/>
      <c r="L132" s="738"/>
      <c r="M132" s="739"/>
      <c r="N132" s="739"/>
      <c r="O132" s="739"/>
      <c r="P132" s="739"/>
      <c r="Q132" s="739"/>
      <c r="R132" s="739"/>
      <c r="S132" s="739">
        <f>AX132*((Q119+Q122+R126)/(AW119+AW122+AX126))</f>
        <v>216.96507811967999</v>
      </c>
      <c r="T132" s="739">
        <f t="shared" si="4" ref="T132:U132">AY132*((R119+R122+S126)/(AX119+AX122+AY126))</f>
        <v>216.9649989089082</v>
      </c>
      <c r="U132" s="739">
        <f t="shared" si="4"/>
        <v>216.42721194567133</v>
      </c>
      <c r="V132" s="739"/>
      <c r="W132" s="739"/>
      <c r="X132" s="739"/>
      <c r="Y132" s="739"/>
      <c r="Z132" s="739"/>
      <c r="AA132" s="739"/>
      <c r="AB132" s="739"/>
      <c r="AC132" s="739"/>
      <c r="AD132" s="739"/>
      <c r="AE132" s="739"/>
      <c r="AF132" s="739"/>
      <c r="AG132" s="739"/>
      <c r="AH132" s="739"/>
      <c r="AI132" s="739"/>
      <c r="AJ132" s="739"/>
      <c r="AK132" s="739"/>
      <c r="AL132" s="739"/>
      <c r="AM132" s="739"/>
      <c r="AN132" s="739"/>
      <c r="AO132" s="740"/>
      <c r="AP132" s="50"/>
      <c r="AQ132" s="738"/>
      <c r="AR132" s="739"/>
      <c r="AS132" s="739"/>
      <c r="AT132" s="739"/>
      <c r="AU132" s="739"/>
      <c r="AV132" s="739"/>
      <c r="AW132" s="739"/>
      <c r="AX132" s="739">
        <v>1733977.6452778243</v>
      </c>
      <c r="AY132" s="739">
        <f t="shared" si="5" ref="AY132:AY135">(AX132+AZ132)/2</f>
        <v>1729690.2952632695</v>
      </c>
      <c r="AZ132" s="739">
        <v>1725402.9452487149</v>
      </c>
      <c r="BA132" s="739"/>
      <c r="BB132" s="739"/>
      <c r="BC132" s="739"/>
      <c r="BD132" s="739"/>
      <c r="BE132" s="739"/>
      <c r="BF132" s="739"/>
      <c r="BG132" s="739"/>
      <c r="BH132" s="739"/>
      <c r="BI132" s="739"/>
      <c r="BJ132" s="739"/>
      <c r="BK132" s="739"/>
      <c r="BL132" s="739"/>
      <c r="BM132" s="739"/>
      <c r="BN132" s="739"/>
      <c r="BO132" s="739"/>
      <c r="BP132" s="739"/>
      <c r="BQ132" s="739"/>
      <c r="BR132" s="739"/>
      <c r="BS132" s="739"/>
      <c r="BT132" s="740"/>
    </row>
    <row r="133" spans="2:72" ht="14.5">
      <c r="B133" s="737"/>
      <c r="C133" s="737"/>
      <c r="D133" s="741" t="s">
        <v>120</v>
      </c>
      <c r="E133" s="737" t="s">
        <v>745</v>
      </c>
      <c r="F133" s="737"/>
      <c r="G133" s="737"/>
      <c r="H133" s="737">
        <v>2018</v>
      </c>
      <c r="I133" s="636" t="s">
        <v>579</v>
      </c>
      <c r="J133" s="636" t="s">
        <v>589</v>
      </c>
      <c r="K133" s="50"/>
      <c r="L133" s="738"/>
      <c r="M133" s="739"/>
      <c r="N133" s="739"/>
      <c r="O133" s="739"/>
      <c r="P133" s="739"/>
      <c r="Q133" s="739"/>
      <c r="R133" s="739"/>
      <c r="S133" s="739">
        <f>AX133*((R88)/(AW88))</f>
        <v>5.9875177733378306</v>
      </c>
      <c r="T133" s="739">
        <f t="shared" si="6" ref="T133:U133">AY133*((S88)/(AX88))</f>
        <v>5.9578085082850105</v>
      </c>
      <c r="U133" s="739">
        <f t="shared" si="6"/>
        <v>5.9280992432321904</v>
      </c>
      <c r="V133" s="739"/>
      <c r="W133" s="739"/>
      <c r="X133" s="739"/>
      <c r="Y133" s="739"/>
      <c r="Z133" s="739"/>
      <c r="AA133" s="739"/>
      <c r="AB133" s="739"/>
      <c r="AC133" s="739"/>
      <c r="AD133" s="739"/>
      <c r="AE133" s="739"/>
      <c r="AF133" s="739"/>
      <c r="AG133" s="739"/>
      <c r="AH133" s="739"/>
      <c r="AI133" s="739"/>
      <c r="AJ133" s="739"/>
      <c r="AK133" s="739"/>
      <c r="AL133" s="739"/>
      <c r="AM133" s="739"/>
      <c r="AN133" s="739"/>
      <c r="AO133" s="740"/>
      <c r="AP133" s="50"/>
      <c r="AQ133" s="738"/>
      <c r="AR133" s="739"/>
      <c r="AS133" s="739"/>
      <c r="AT133" s="739"/>
      <c r="AU133" s="739"/>
      <c r="AV133" s="739"/>
      <c r="AW133" s="739"/>
      <c r="AX133" s="739">
        <v>31041.669251232775</v>
      </c>
      <c r="AY133" s="739">
        <f t="shared" si="5"/>
        <v>30887.64462627492</v>
      </c>
      <c r="AZ133" s="739">
        <v>30733.620001317064</v>
      </c>
      <c r="BA133" s="739"/>
      <c r="BB133" s="739"/>
      <c r="BC133" s="739"/>
      <c r="BD133" s="739"/>
      <c r="BE133" s="739"/>
      <c r="BF133" s="739"/>
      <c r="BG133" s="739"/>
      <c r="BH133" s="739"/>
      <c r="BI133" s="739"/>
      <c r="BJ133" s="739"/>
      <c r="BK133" s="739"/>
      <c r="BL133" s="739"/>
      <c r="BM133" s="739"/>
      <c r="BN133" s="739"/>
      <c r="BO133" s="739"/>
      <c r="BP133" s="739"/>
      <c r="BQ133" s="739"/>
      <c r="BR133" s="739"/>
      <c r="BS133" s="739"/>
      <c r="BT133" s="740"/>
    </row>
    <row r="134" spans="2:72" ht="14.5">
      <c r="B134" s="737"/>
      <c r="C134" s="737"/>
      <c r="D134" s="741" t="s">
        <v>772</v>
      </c>
      <c r="E134" s="737" t="s">
        <v>745</v>
      </c>
      <c r="F134" s="737"/>
      <c r="G134" s="737"/>
      <c r="H134" s="737">
        <v>2018</v>
      </c>
      <c r="I134" s="636" t="s">
        <v>579</v>
      </c>
      <c r="J134" s="636" t="s">
        <v>589</v>
      </c>
      <c r="K134" s="50"/>
      <c r="L134" s="738"/>
      <c r="M134" s="739"/>
      <c r="N134" s="739"/>
      <c r="O134" s="739"/>
      <c r="P134" s="739"/>
      <c r="Q134" s="739"/>
      <c r="R134" s="739"/>
      <c r="S134" s="739">
        <f>AX134*((R127)/(AW127))</f>
        <v>21.872432223581686</v>
      </c>
      <c r="T134" s="739">
        <f t="shared" si="7" ref="T134:U134">AY134*((S127)/(AX127))</f>
        <v>21.872432223581686</v>
      </c>
      <c r="U134" s="739">
        <f t="shared" si="7"/>
        <v>21.872432223581686</v>
      </c>
      <c r="V134" s="739"/>
      <c r="W134" s="739"/>
      <c r="X134" s="739"/>
      <c r="Y134" s="739"/>
      <c r="Z134" s="739"/>
      <c r="AA134" s="739"/>
      <c r="AB134" s="739"/>
      <c r="AC134" s="739"/>
      <c r="AD134" s="739"/>
      <c r="AE134" s="739"/>
      <c r="AF134" s="739"/>
      <c r="AG134" s="739"/>
      <c r="AH134" s="739"/>
      <c r="AI134" s="739"/>
      <c r="AJ134" s="739"/>
      <c r="AK134" s="739"/>
      <c r="AL134" s="739"/>
      <c r="AM134" s="739"/>
      <c r="AN134" s="739"/>
      <c r="AO134" s="740"/>
      <c r="AP134" s="50"/>
      <c r="AQ134" s="738"/>
      <c r="AR134" s="739"/>
      <c r="AS134" s="739"/>
      <c r="AT134" s="739"/>
      <c r="AU134" s="739"/>
      <c r="AV134" s="739"/>
      <c r="AW134" s="739"/>
      <c r="AX134" s="739">
        <v>113219</v>
      </c>
      <c r="AY134" s="739">
        <f t="shared" si="5"/>
        <v>113219</v>
      </c>
      <c r="AZ134" s="739">
        <v>113219</v>
      </c>
      <c r="BA134" s="739"/>
      <c r="BB134" s="739"/>
      <c r="BC134" s="739"/>
      <c r="BD134" s="739"/>
      <c r="BE134" s="739"/>
      <c r="BF134" s="739"/>
      <c r="BG134" s="739"/>
      <c r="BH134" s="739"/>
      <c r="BI134" s="739"/>
      <c r="BJ134" s="739"/>
      <c r="BK134" s="739"/>
      <c r="BL134" s="739"/>
      <c r="BM134" s="739"/>
      <c r="BN134" s="739"/>
      <c r="BO134" s="739"/>
      <c r="BP134" s="739"/>
      <c r="BQ134" s="739"/>
      <c r="BR134" s="739"/>
      <c r="BS134" s="739"/>
      <c r="BT134" s="740"/>
    </row>
    <row r="135" spans="2:72" ht="14.5">
      <c r="B135" s="737"/>
      <c r="C135" s="737"/>
      <c r="D135" s="737" t="s">
        <v>119</v>
      </c>
      <c r="E135" s="737" t="s">
        <v>745</v>
      </c>
      <c r="F135" s="737"/>
      <c r="G135" s="737"/>
      <c r="H135" s="737">
        <v>2018</v>
      </c>
      <c r="I135" s="636" t="s">
        <v>579</v>
      </c>
      <c r="J135" s="636" t="s">
        <v>589</v>
      </c>
      <c r="K135" s="50"/>
      <c r="L135" s="738"/>
      <c r="M135" s="739"/>
      <c r="N135" s="739"/>
      <c r="O135" s="739"/>
      <c r="P135" s="739"/>
      <c r="Q135" s="739"/>
      <c r="R135" s="739"/>
      <c r="S135" s="739">
        <f>AX135*0.000256331285410396</f>
        <v>10.081837822221967</v>
      </c>
      <c r="T135" s="739">
        <f>AY135*0.000256331285410396</f>
        <v>8.2821714415563452</v>
      </c>
      <c r="U135" s="739">
        <f>AZ135*0.000256331285410396</f>
        <v>6.4825050608907242</v>
      </c>
      <c r="V135" s="739"/>
      <c r="W135" s="739"/>
      <c r="X135" s="739"/>
      <c r="Y135" s="739"/>
      <c r="Z135" s="739"/>
      <c r="AA135" s="739"/>
      <c r="AB135" s="739"/>
      <c r="AC135" s="739"/>
      <c r="AD135" s="739"/>
      <c r="AE135" s="739"/>
      <c r="AF135" s="739"/>
      <c r="AG135" s="739"/>
      <c r="AH135" s="739"/>
      <c r="AI135" s="739"/>
      <c r="AJ135" s="739"/>
      <c r="AK135" s="739"/>
      <c r="AL135" s="739"/>
      <c r="AM135" s="739"/>
      <c r="AN135" s="739"/>
      <c r="AO135" s="740"/>
      <c r="AP135" s="50"/>
      <c r="AQ135" s="738"/>
      <c r="AR135" s="739"/>
      <c r="AS135" s="739"/>
      <c r="AT135" s="739"/>
      <c r="AU135" s="739"/>
      <c r="AV135" s="739"/>
      <c r="AW135" s="739"/>
      <c r="AX135" s="739">
        <v>39331.281025960474</v>
      </c>
      <c r="AY135" s="739">
        <f t="shared" si="5"/>
        <v>32310.41980808655</v>
      </c>
      <c r="AZ135" s="739">
        <v>25289.558590212626</v>
      </c>
      <c r="BA135" s="739"/>
      <c r="BB135" s="739"/>
      <c r="BC135" s="739"/>
      <c r="BD135" s="739"/>
      <c r="BE135" s="739"/>
      <c r="BF135" s="739"/>
      <c r="BG135" s="739"/>
      <c r="BH135" s="739"/>
      <c r="BI135" s="739"/>
      <c r="BJ135" s="739"/>
      <c r="BK135" s="739"/>
      <c r="BL135" s="739"/>
      <c r="BM135" s="739"/>
      <c r="BN135" s="739"/>
      <c r="BO135" s="739"/>
      <c r="BP135" s="739"/>
      <c r="BQ135" s="739"/>
      <c r="BR135" s="739"/>
      <c r="BS135" s="739"/>
      <c r="BT135" s="740"/>
    </row>
    <row r="136" spans="2:72" ht="14.5">
      <c r="B136" s="737"/>
      <c r="C136" s="737"/>
      <c r="D136" s="737" t="s">
        <v>118</v>
      </c>
      <c r="E136" s="737" t="s">
        <v>745</v>
      </c>
      <c r="F136" s="737"/>
      <c r="G136" s="737"/>
      <c r="H136" s="737">
        <v>2019</v>
      </c>
      <c r="I136" s="636" t="s">
        <v>579</v>
      </c>
      <c r="J136" s="636" t="s">
        <v>589</v>
      </c>
      <c r="K136" s="50"/>
      <c r="L136" s="738"/>
      <c r="M136" s="739"/>
      <c r="N136" s="739"/>
      <c r="O136" s="739"/>
      <c r="P136" s="739"/>
      <c r="Q136" s="739"/>
      <c r="R136" s="739"/>
      <c r="S136" s="739"/>
      <c r="T136" s="739">
        <f>AY136*((Q119+Q122+R126)/(AV119+AV122+AW126))</f>
        <v>32.433628293043313</v>
      </c>
      <c r="U136" s="739">
        <f>AZ136*((R119+R122+S126)/(AW119+AW122+AX126))</f>
        <v>32.492522972731784</v>
      </c>
      <c r="V136" s="739"/>
      <c r="W136" s="739"/>
      <c r="X136" s="739"/>
      <c r="Y136" s="739"/>
      <c r="Z136" s="739"/>
      <c r="AA136" s="739"/>
      <c r="AB136" s="739"/>
      <c r="AC136" s="739"/>
      <c r="AD136" s="739"/>
      <c r="AE136" s="739"/>
      <c r="AF136" s="739"/>
      <c r="AG136" s="739"/>
      <c r="AH136" s="739"/>
      <c r="AI136" s="739"/>
      <c r="AJ136" s="739"/>
      <c r="AK136" s="739"/>
      <c r="AL136" s="739"/>
      <c r="AM136" s="739"/>
      <c r="AN136" s="739"/>
      <c r="AO136" s="740"/>
      <c r="AP136" s="50"/>
      <c r="AQ136" s="738"/>
      <c r="AR136" s="739"/>
      <c r="AS136" s="739"/>
      <c r="AT136" s="739"/>
      <c r="AU136" s="739"/>
      <c r="AV136" s="739"/>
      <c r="AW136" s="739"/>
      <c r="AX136" s="739"/>
      <c r="AY136" s="739">
        <v>259037.18082265044</v>
      </c>
      <c r="AZ136" s="739">
        <v>259037.18082265044</v>
      </c>
      <c r="BA136" s="739"/>
      <c r="BB136" s="739"/>
      <c r="BC136" s="739"/>
      <c r="BD136" s="739"/>
      <c r="BE136" s="739"/>
      <c r="BF136" s="739"/>
      <c r="BG136" s="739"/>
      <c r="BH136" s="739"/>
      <c r="BI136" s="739"/>
      <c r="BJ136" s="739"/>
      <c r="BK136" s="739"/>
      <c r="BL136" s="739"/>
      <c r="BM136" s="739"/>
      <c r="BN136" s="739"/>
      <c r="BO136" s="739"/>
      <c r="BP136" s="739"/>
      <c r="BQ136" s="739"/>
      <c r="BR136" s="739"/>
      <c r="BS136" s="739"/>
      <c r="BT136" s="740"/>
    </row>
    <row r="137" spans="2:72" ht="14.5">
      <c r="B137" s="737"/>
      <c r="C137" s="737"/>
      <c r="D137" s="741" t="s">
        <v>119</v>
      </c>
      <c r="E137" s="737" t="s">
        <v>745</v>
      </c>
      <c r="F137" s="737"/>
      <c r="G137" s="737"/>
      <c r="H137" s="737">
        <v>2019</v>
      </c>
      <c r="I137" s="636" t="s">
        <v>579</v>
      </c>
      <c r="J137" s="636" t="s">
        <v>589</v>
      </c>
      <c r="K137" s="50"/>
      <c r="L137" s="738"/>
      <c r="M137" s="739"/>
      <c r="N137" s="739"/>
      <c r="O137" s="739"/>
      <c r="P137" s="739"/>
      <c r="Q137" s="739"/>
      <c r="R137" s="739"/>
      <c r="S137" s="739"/>
      <c r="T137" s="739">
        <f>AY137*0.000256331285410396</f>
        <v>3.2602299311312084</v>
      </c>
      <c r="U137" s="739">
        <f>AZ137*0.000256331285410396</f>
        <v>2.8706367801796229</v>
      </c>
      <c r="V137" s="739"/>
      <c r="W137" s="739"/>
      <c r="X137" s="739"/>
      <c r="Y137" s="739"/>
      <c r="Z137" s="739"/>
      <c r="AA137" s="739"/>
      <c r="AB137" s="739"/>
      <c r="AC137" s="739"/>
      <c r="AD137" s="739"/>
      <c r="AE137" s="739"/>
      <c r="AF137" s="739"/>
      <c r="AG137" s="739"/>
      <c r="AH137" s="739"/>
      <c r="AI137" s="739"/>
      <c r="AJ137" s="739"/>
      <c r="AK137" s="739"/>
      <c r="AL137" s="739"/>
      <c r="AM137" s="739"/>
      <c r="AN137" s="739"/>
      <c r="AO137" s="740"/>
      <c r="AP137" s="50"/>
      <c r="AQ137" s="738"/>
      <c r="AR137" s="739"/>
      <c r="AS137" s="739"/>
      <c r="AT137" s="739"/>
      <c r="AU137" s="739"/>
      <c r="AV137" s="739"/>
      <c r="AW137" s="739"/>
      <c r="AX137" s="739"/>
      <c r="AY137" s="739">
        <v>12718.813959487849</v>
      </c>
      <c r="AZ137" s="739">
        <v>11198.932567219119</v>
      </c>
      <c r="BA137" s="739"/>
      <c r="BB137" s="739"/>
      <c r="BC137" s="739"/>
      <c r="BD137" s="739"/>
      <c r="BE137" s="739"/>
      <c r="BF137" s="739"/>
      <c r="BG137" s="739"/>
      <c r="BH137" s="739"/>
      <c r="BI137" s="739"/>
      <c r="BJ137" s="739"/>
      <c r="BK137" s="739"/>
      <c r="BL137" s="739"/>
      <c r="BM137" s="739"/>
      <c r="BN137" s="739"/>
      <c r="BO137" s="739"/>
      <c r="BP137" s="739"/>
      <c r="BQ137" s="739"/>
      <c r="BR137" s="739"/>
      <c r="BS137" s="739"/>
      <c r="BT137" s="740"/>
    </row>
    <row r="138" spans="2:72" ht="14.5">
      <c r="B138" s="737"/>
      <c r="C138" s="737"/>
      <c r="D138" s="741" t="s">
        <v>795</v>
      </c>
      <c r="E138" s="737" t="s">
        <v>745</v>
      </c>
      <c r="F138" s="737"/>
      <c r="G138" s="737"/>
      <c r="H138" s="737">
        <v>2019</v>
      </c>
      <c r="I138" s="636" t="s">
        <v>579</v>
      </c>
      <c r="J138" s="636" t="s">
        <v>589</v>
      </c>
      <c r="K138" s="50"/>
      <c r="L138" s="738"/>
      <c r="M138" s="739"/>
      <c r="N138" s="739"/>
      <c r="O138" s="739"/>
      <c r="P138" s="739"/>
      <c r="Q138" s="739"/>
      <c r="R138" s="739"/>
      <c r="S138" s="739"/>
      <c r="T138" s="739">
        <f>AY138*0.000134959774652383</f>
        <v>3.1259895852128605</v>
      </c>
      <c r="U138" s="739">
        <f>AZ138*0.000134959774652383</f>
        <v>3.1259895852128605</v>
      </c>
      <c r="V138" s="739"/>
      <c r="W138" s="739"/>
      <c r="X138" s="739"/>
      <c r="Y138" s="739"/>
      <c r="Z138" s="739"/>
      <c r="AA138" s="739"/>
      <c r="AB138" s="739"/>
      <c r="AC138" s="739"/>
      <c r="AD138" s="739"/>
      <c r="AE138" s="739"/>
      <c r="AF138" s="739"/>
      <c r="AG138" s="739"/>
      <c r="AH138" s="739"/>
      <c r="AI138" s="739"/>
      <c r="AJ138" s="739"/>
      <c r="AK138" s="739"/>
      <c r="AL138" s="739"/>
      <c r="AM138" s="739"/>
      <c r="AN138" s="739"/>
      <c r="AO138" s="740"/>
      <c r="AP138" s="50"/>
      <c r="AQ138" s="738"/>
      <c r="AR138" s="739"/>
      <c r="AS138" s="739"/>
      <c r="AT138" s="739"/>
      <c r="AU138" s="739"/>
      <c r="AV138" s="739"/>
      <c r="AW138" s="739"/>
      <c r="AX138" s="739"/>
      <c r="AY138" s="739">
        <v>23162.379999999983</v>
      </c>
      <c r="AZ138" s="739">
        <v>23162.379999999983</v>
      </c>
      <c r="BA138" s="739"/>
      <c r="BB138" s="739"/>
      <c r="BC138" s="739"/>
      <c r="BD138" s="739"/>
      <c r="BE138" s="739"/>
      <c r="BF138" s="739"/>
      <c r="BG138" s="739"/>
      <c r="BH138" s="739"/>
      <c r="BI138" s="739"/>
      <c r="BJ138" s="739"/>
      <c r="BK138" s="739"/>
      <c r="BL138" s="739"/>
      <c r="BM138" s="739"/>
      <c r="BN138" s="739"/>
      <c r="BO138" s="739"/>
      <c r="BP138" s="739"/>
      <c r="BQ138" s="739"/>
      <c r="BR138" s="739"/>
      <c r="BS138" s="739"/>
      <c r="BT138" s="740"/>
    </row>
    <row r="139" spans="2:72" ht="14.5">
      <c r="B139" s="737"/>
      <c r="C139" s="737"/>
      <c r="D139" s="741" t="s">
        <v>845</v>
      </c>
      <c r="E139" s="737" t="s">
        <v>745</v>
      </c>
      <c r="F139" s="737"/>
      <c r="G139" s="737"/>
      <c r="H139" s="737" t="s">
        <v>846</v>
      </c>
      <c r="I139" s="636">
        <v>2020</v>
      </c>
      <c r="J139" s="636" t="s">
        <v>582</v>
      </c>
      <c r="K139" s="50"/>
      <c r="L139" s="738"/>
      <c r="M139" s="739"/>
      <c r="N139" s="739"/>
      <c r="O139" s="739"/>
      <c r="P139" s="739">
        <f>AU139*((Q119+Q122+R126)/(AV119+AV122+AW126))</f>
        <v>-2.4339832687341705</v>
      </c>
      <c r="Q139" s="739">
        <f>AV139*((R119+R122+S126)/(AW119+AW122+AX126))</f>
        <v>-17.132211376707783</v>
      </c>
      <c r="R139" s="739">
        <f t="shared" si="8" ref="R139:U139">AW139*((S119+S122+T126)/(AX119+AX122+AY126))</f>
        <v>-17.132211376707783</v>
      </c>
      <c r="S139" s="739">
        <f t="shared" si="8"/>
        <v>-17.132211376707783</v>
      </c>
      <c r="T139" s="739">
        <f t="shared" si="8"/>
        <v>-17.132211376707783</v>
      </c>
      <c r="U139" s="739">
        <f t="shared" si="8"/>
        <v>-16.906524374421725</v>
      </c>
      <c r="V139" s="739"/>
      <c r="W139" s="739"/>
      <c r="X139" s="739"/>
      <c r="Y139" s="739"/>
      <c r="Z139" s="739"/>
      <c r="AA139" s="739"/>
      <c r="AB139" s="739"/>
      <c r="AC139" s="739"/>
      <c r="AD139" s="739"/>
      <c r="AE139" s="739"/>
      <c r="AF139" s="739"/>
      <c r="AG139" s="739"/>
      <c r="AH139" s="739"/>
      <c r="AI139" s="739"/>
      <c r="AJ139" s="739"/>
      <c r="AK139" s="739"/>
      <c r="AL139" s="739"/>
      <c r="AM139" s="739"/>
      <c r="AN139" s="739"/>
      <c r="AO139" s="740"/>
      <c r="AP139" s="50"/>
      <c r="AQ139" s="738"/>
      <c r="AR139" s="739"/>
      <c r="AS139" s="739"/>
      <c r="AT139" s="739"/>
      <c r="AU139" s="739">
        <f>'8.  Streetlighting'!U38</f>
        <v>-19439.458280948274</v>
      </c>
      <c r="AV139" s="739">
        <f>-'8.  Streetlighting'!U39</f>
        <v>-136581.56801195335</v>
      </c>
      <c r="AW139" s="739">
        <f>-'8.  Streetlighting'!U40</f>
        <v>-136581.56801195335</v>
      </c>
      <c r="AX139" s="739">
        <f>-'8.  Streetlighting'!U41</f>
        <v>-136581.56801195335</v>
      </c>
      <c r="AY139" s="739">
        <f>-'8.  Streetlighting'!U42</f>
        <v>-136581.56801195335</v>
      </c>
      <c r="AZ139" s="739">
        <f t="shared" si="9" ref="AZ139:AZ147">AY139-(AX139-AY139)</f>
        <v>-136581.56801195335</v>
      </c>
      <c r="BA139" s="739"/>
      <c r="BB139" s="739"/>
      <c r="BC139" s="739"/>
      <c r="BD139" s="739"/>
      <c r="BE139" s="739"/>
      <c r="BF139" s="739"/>
      <c r="BG139" s="739"/>
      <c r="BH139" s="739"/>
      <c r="BI139" s="739"/>
      <c r="BJ139" s="739"/>
      <c r="BK139" s="739"/>
      <c r="BL139" s="739"/>
      <c r="BM139" s="739"/>
      <c r="BN139" s="739"/>
      <c r="BO139" s="739"/>
      <c r="BP139" s="739"/>
      <c r="BQ139" s="739"/>
      <c r="BR139" s="739"/>
      <c r="BS139" s="739"/>
      <c r="BT139" s="740"/>
    </row>
    <row r="140" spans="2:72" ht="14.5">
      <c r="B140" s="737"/>
      <c r="C140" s="737"/>
      <c r="D140" s="741" t="s">
        <v>845</v>
      </c>
      <c r="E140" s="737" t="s">
        <v>745</v>
      </c>
      <c r="F140" s="737"/>
      <c r="G140" s="737"/>
      <c r="H140" s="737" t="s">
        <v>847</v>
      </c>
      <c r="I140" s="636">
        <v>2020</v>
      </c>
      <c r="J140" s="636" t="s">
        <v>582</v>
      </c>
      <c r="K140" s="50"/>
      <c r="L140" s="738"/>
      <c r="M140" s="739"/>
      <c r="N140" s="739"/>
      <c r="O140" s="739"/>
      <c r="P140" s="739"/>
      <c r="Q140" s="739">
        <f>AV140*((Q119+Q122+R126)/(AV119+AV122+AW126))</f>
        <v>-83.773020464079835</v>
      </c>
      <c r="R140" s="739">
        <f t="shared" si="10" ref="R140:U140">AW140*((R119+R122+S126)/(AW119+AW122+AX126))</f>
        <v>-161.23549722059937</v>
      </c>
      <c r="S140" s="739">
        <f t="shared" si="10"/>
        <v>-161.23549722059937</v>
      </c>
      <c r="T140" s="739">
        <f t="shared" si="10"/>
        <v>-161.23549722059937</v>
      </c>
      <c r="U140" s="739">
        <f t="shared" si="10"/>
        <v>-161.23549722059937</v>
      </c>
      <c r="V140" s="739"/>
      <c r="W140" s="739"/>
      <c r="X140" s="739"/>
      <c r="Y140" s="739"/>
      <c r="Z140" s="739"/>
      <c r="AA140" s="739"/>
      <c r="AB140" s="739"/>
      <c r="AC140" s="739"/>
      <c r="AD140" s="739"/>
      <c r="AE140" s="739"/>
      <c r="AF140" s="739"/>
      <c r="AG140" s="739"/>
      <c r="AH140" s="739"/>
      <c r="AI140" s="739"/>
      <c r="AJ140" s="739"/>
      <c r="AK140" s="739"/>
      <c r="AL140" s="739"/>
      <c r="AM140" s="739"/>
      <c r="AN140" s="739"/>
      <c r="AO140" s="740"/>
      <c r="AP140" s="50"/>
      <c r="AQ140" s="738"/>
      <c r="AR140" s="739"/>
      <c r="AS140" s="739"/>
      <c r="AT140" s="739"/>
      <c r="AU140" s="739"/>
      <c r="AV140" s="739">
        <f>'8.  Streetlighting'!U62</f>
        <v>-669068.74722579052</v>
      </c>
      <c r="AW140" s="739">
        <f>-'8.  Streetlighting'!U63</f>
        <v>-1285403.0659180575</v>
      </c>
      <c r="AX140" s="739">
        <f>-'8.  Streetlighting'!U64</f>
        <v>-1285403.0659180575</v>
      </c>
      <c r="AY140" s="739">
        <f>-'8.  Streetlighting'!U65</f>
        <v>-1285403.0659180575</v>
      </c>
      <c r="AZ140" s="739">
        <f t="shared" si="9"/>
        <v>-1285403.0659180575</v>
      </c>
      <c r="BA140" s="739"/>
      <c r="BB140" s="739"/>
      <c r="BC140" s="739"/>
      <c r="BD140" s="739"/>
      <c r="BE140" s="739"/>
      <c r="BF140" s="739"/>
      <c r="BG140" s="739"/>
      <c r="BH140" s="739"/>
      <c r="BI140" s="739"/>
      <c r="BJ140" s="739"/>
      <c r="BK140" s="739"/>
      <c r="BL140" s="739"/>
      <c r="BM140" s="739"/>
      <c r="BN140" s="739"/>
      <c r="BO140" s="739"/>
      <c r="BP140" s="739"/>
      <c r="BQ140" s="739"/>
      <c r="BR140" s="739"/>
      <c r="BS140" s="739"/>
      <c r="BT140" s="740"/>
    </row>
    <row r="141" spans="2:72" ht="14.5">
      <c r="B141" s="737"/>
      <c r="C141" s="737"/>
      <c r="D141" s="741" t="s">
        <v>845</v>
      </c>
      <c r="E141" s="737" t="s">
        <v>745</v>
      </c>
      <c r="F141" s="737"/>
      <c r="G141" s="737"/>
      <c r="H141" s="737" t="s">
        <v>848</v>
      </c>
      <c r="I141" s="636">
        <v>2020</v>
      </c>
      <c r="J141" s="636" t="s">
        <v>582</v>
      </c>
      <c r="K141" s="50"/>
      <c r="L141" s="738"/>
      <c r="M141" s="739"/>
      <c r="N141" s="739"/>
      <c r="O141" s="739"/>
      <c r="P141" s="739"/>
      <c r="Q141" s="739"/>
      <c r="R141" s="739">
        <f>AW141*((Q119+Q122+R126)/(AV119+AV122+AW126))</f>
        <v>-5.2241744951803852</v>
      </c>
      <c r="S141" s="739">
        <f t="shared" si="11" ref="S141:U141">AX141*((R119+R122+S126)/(AW119+AW122+AX126))</f>
        <v>-10.29833032893829</v>
      </c>
      <c r="T141" s="739">
        <f t="shared" si="11"/>
        <v>-10.29833032893829</v>
      </c>
      <c r="U141" s="739">
        <f t="shared" si="11"/>
        <v>-10.29833032893829</v>
      </c>
      <c r="V141" s="739"/>
      <c r="W141" s="739"/>
      <c r="X141" s="739"/>
      <c r="Y141" s="739"/>
      <c r="Z141" s="739"/>
      <c r="AA141" s="739"/>
      <c r="AB141" s="739"/>
      <c r="AC141" s="739"/>
      <c r="AD141" s="739"/>
      <c r="AE141" s="739"/>
      <c r="AF141" s="739"/>
      <c r="AG141" s="739"/>
      <c r="AH141" s="739"/>
      <c r="AI141" s="739"/>
      <c r="AJ141" s="739"/>
      <c r="AK141" s="739"/>
      <c r="AL141" s="739"/>
      <c r="AM141" s="739"/>
      <c r="AN141" s="739"/>
      <c r="AO141" s="740"/>
      <c r="AP141" s="50"/>
      <c r="AQ141" s="738"/>
      <c r="AR141" s="739"/>
      <c r="AS141" s="739"/>
      <c r="AT141" s="739"/>
      <c r="AU141" s="739"/>
      <c r="AV141" s="739"/>
      <c r="AW141" s="739">
        <f>'8.  Streetlighting'!U86</f>
        <v>-41723.837405122496</v>
      </c>
      <c r="AX141" s="739">
        <f>-'8.  Streetlighting'!U87</f>
        <v>-82100.440702228792</v>
      </c>
      <c r="AY141" s="739">
        <f>-'8.  Streetlighting'!U87</f>
        <v>-82100.440702228792</v>
      </c>
      <c r="AZ141" s="739">
        <f t="shared" si="9"/>
        <v>-82100.440702228792</v>
      </c>
      <c r="BA141" s="739"/>
      <c r="BB141" s="739"/>
      <c r="BC141" s="739"/>
      <c r="BD141" s="739"/>
      <c r="BE141" s="739"/>
      <c r="BF141" s="739"/>
      <c r="BG141" s="739"/>
      <c r="BH141" s="739"/>
      <c r="BI141" s="739"/>
      <c r="BJ141" s="739"/>
      <c r="BK141" s="739"/>
      <c r="BL141" s="739"/>
      <c r="BM141" s="739"/>
      <c r="BN141" s="739"/>
      <c r="BO141" s="739"/>
      <c r="BP141" s="739"/>
      <c r="BQ141" s="739"/>
      <c r="BR141" s="739"/>
      <c r="BS141" s="739"/>
      <c r="BT141" s="740"/>
    </row>
    <row r="142" spans="2:72" ht="14.5">
      <c r="B142" s="737"/>
      <c r="C142" s="737"/>
      <c r="D142" s="741" t="s">
        <v>118</v>
      </c>
      <c r="E142" s="737" t="s">
        <v>745</v>
      </c>
      <c r="F142" s="737"/>
      <c r="G142" s="737"/>
      <c r="H142" s="737" t="s">
        <v>847</v>
      </c>
      <c r="I142" s="636">
        <v>2019</v>
      </c>
      <c r="J142" s="636" t="s">
        <v>582</v>
      </c>
      <c r="K142" s="50"/>
      <c r="L142" s="738"/>
      <c r="M142" s="739"/>
      <c r="N142" s="739"/>
      <c r="O142" s="739"/>
      <c r="P142" s="739"/>
      <c r="Q142" s="837">
        <f>AV142*((Q119+Q122+R126)/(AV119+AV122+AW126))</f>
        <v>7.834337753755606</v>
      </c>
      <c r="R142" s="837">
        <f t="shared" si="12" ref="R142:T142">AW142*((R119+R122+S126)/(AW119+AW122+AX126))</f>
        <v>7.8485637542637798</v>
      </c>
      <c r="S142" s="837">
        <f t="shared" si="12"/>
        <v>7.8485637542637798</v>
      </c>
      <c r="T142" s="837">
        <f t="shared" si="12"/>
        <v>7.8485637542637798</v>
      </c>
      <c r="U142" s="739"/>
      <c r="V142" s="739"/>
      <c r="W142" s="739"/>
      <c r="X142" s="739"/>
      <c r="Y142" s="739"/>
      <c r="Z142" s="739"/>
      <c r="AA142" s="739"/>
      <c r="AB142" s="739"/>
      <c r="AC142" s="739"/>
      <c r="AD142" s="739"/>
      <c r="AE142" s="739"/>
      <c r="AF142" s="739"/>
      <c r="AG142" s="739"/>
      <c r="AH142" s="739"/>
      <c r="AI142" s="739"/>
      <c r="AJ142" s="739"/>
      <c r="AK142" s="739"/>
      <c r="AL142" s="739"/>
      <c r="AM142" s="739"/>
      <c r="AN142" s="739"/>
      <c r="AO142" s="740"/>
      <c r="AP142" s="50"/>
      <c r="AQ142" s="738"/>
      <c r="AR142" s="739"/>
      <c r="AS142" s="739"/>
      <c r="AT142" s="739"/>
      <c r="AU142" s="739"/>
      <c r="AV142" s="739">
        <v>62570.389812988964</v>
      </c>
      <c r="AW142" s="739">
        <f>AV142</f>
        <v>62570.389812988964</v>
      </c>
      <c r="AX142" s="739">
        <f>AW142</f>
        <v>62570.389812988964</v>
      </c>
      <c r="AY142" s="739">
        <v>62570.389812988964</v>
      </c>
      <c r="AZ142" s="739">
        <f t="shared" si="9"/>
        <v>62570.389812988964</v>
      </c>
      <c r="BA142" s="739"/>
      <c r="BB142" s="739"/>
      <c r="BC142" s="739"/>
      <c r="BD142" s="739"/>
      <c r="BE142" s="739"/>
      <c r="BF142" s="739"/>
      <c r="BG142" s="739"/>
      <c r="BH142" s="739"/>
      <c r="BI142" s="739"/>
      <c r="BJ142" s="739"/>
      <c r="BK142" s="739"/>
      <c r="BL142" s="739"/>
      <c r="BM142" s="739"/>
      <c r="BN142" s="739"/>
      <c r="BO142" s="739"/>
      <c r="BP142" s="739"/>
      <c r="BQ142" s="739"/>
      <c r="BR142" s="739"/>
      <c r="BS142" s="739"/>
      <c r="BT142" s="740"/>
    </row>
    <row r="143" spans="2:72" ht="14.5">
      <c r="B143" s="737"/>
      <c r="C143" s="737"/>
      <c r="D143" s="741" t="s">
        <v>113</v>
      </c>
      <c r="E143" s="737" t="s">
        <v>745</v>
      </c>
      <c r="F143" s="737"/>
      <c r="G143" s="737"/>
      <c r="H143" s="737" t="s">
        <v>848</v>
      </c>
      <c r="I143" s="636">
        <v>2019</v>
      </c>
      <c r="J143" s="636" t="s">
        <v>582</v>
      </c>
      <c r="K143" s="50"/>
      <c r="L143" s="738"/>
      <c r="M143" s="739"/>
      <c r="N143" s="739"/>
      <c r="O143" s="739"/>
      <c r="P143" s="739"/>
      <c r="Q143" s="739"/>
      <c r="R143" s="739"/>
      <c r="S143" s="739"/>
      <c r="T143" s="739"/>
      <c r="U143" s="739"/>
      <c r="V143" s="739"/>
      <c r="W143" s="739"/>
      <c r="X143" s="739"/>
      <c r="Y143" s="739"/>
      <c r="Z143" s="739"/>
      <c r="AA143" s="739"/>
      <c r="AB143" s="739"/>
      <c r="AC143" s="739"/>
      <c r="AD143" s="739"/>
      <c r="AE143" s="739"/>
      <c r="AF143" s="739"/>
      <c r="AG143" s="739"/>
      <c r="AH143" s="739"/>
      <c r="AI143" s="739"/>
      <c r="AJ143" s="739"/>
      <c r="AK143" s="739"/>
      <c r="AL143" s="739"/>
      <c r="AM143" s="739"/>
      <c r="AN143" s="739"/>
      <c r="AO143" s="740"/>
      <c r="AP143" s="50"/>
      <c r="AQ143" s="738"/>
      <c r="AR143" s="739"/>
      <c r="AS143" s="739"/>
      <c r="AT143" s="739"/>
      <c r="AU143" s="739"/>
      <c r="AV143" s="739"/>
      <c r="AW143" s="739">
        <v>3073.7186798762305</v>
      </c>
      <c r="AX143" s="739">
        <f t="shared" si="13" ref="AX143:AX145">(AW143+AY143)/2</f>
        <v>3061.0847121937386</v>
      </c>
      <c r="AY143" s="739">
        <v>3048.4507445112463</v>
      </c>
      <c r="AZ143" s="739">
        <f t="shared" si="9"/>
        <v>3035.816776828754</v>
      </c>
      <c r="BA143" s="739"/>
      <c r="BB143" s="739"/>
      <c r="BC143" s="739"/>
      <c r="BD143" s="739"/>
      <c r="BE143" s="739"/>
      <c r="BF143" s="739"/>
      <c r="BG143" s="739"/>
      <c r="BH143" s="739"/>
      <c r="BI143" s="739"/>
      <c r="BJ143" s="739"/>
      <c r="BK143" s="739"/>
      <c r="BL143" s="739"/>
      <c r="BM143" s="739"/>
      <c r="BN143" s="739"/>
      <c r="BO143" s="739"/>
      <c r="BP143" s="739"/>
      <c r="BQ143" s="739"/>
      <c r="BR143" s="739"/>
      <c r="BS143" s="739"/>
      <c r="BT143" s="740"/>
    </row>
    <row r="144" spans="2:72" ht="14.5">
      <c r="B144" s="737"/>
      <c r="C144" s="737"/>
      <c r="D144" s="741" t="s">
        <v>114</v>
      </c>
      <c r="E144" s="737" t="s">
        <v>745</v>
      </c>
      <c r="F144" s="737"/>
      <c r="G144" s="737"/>
      <c r="H144" s="737" t="s">
        <v>848</v>
      </c>
      <c r="I144" s="636">
        <v>2019</v>
      </c>
      <c r="J144" s="636" t="s">
        <v>582</v>
      </c>
      <c r="K144" s="50"/>
      <c r="L144" s="738"/>
      <c r="M144" s="739"/>
      <c r="N144" s="739"/>
      <c r="O144" s="739"/>
      <c r="P144" s="739"/>
      <c r="Q144" s="739"/>
      <c r="R144" s="739">
        <f>AW144*((R118+R121+R125)/(AW118+AW121+AW125))</f>
        <v>11.928629880022589</v>
      </c>
      <c r="S144" s="739">
        <f t="shared" si="14" ref="S144:T144">AX144*((S118+S121+S125)/(AX118+AX121+AX125))</f>
        <v>11.928629880022589</v>
      </c>
      <c r="T144" s="739">
        <f t="shared" si="14"/>
        <v>11.928629880022589</v>
      </c>
      <c r="U144" s="739"/>
      <c r="V144" s="739"/>
      <c r="W144" s="739"/>
      <c r="X144" s="739"/>
      <c r="Y144" s="739"/>
      <c r="Z144" s="739"/>
      <c r="AA144" s="739"/>
      <c r="AB144" s="739"/>
      <c r="AC144" s="739"/>
      <c r="AD144" s="739"/>
      <c r="AE144" s="739"/>
      <c r="AF144" s="739"/>
      <c r="AG144" s="739"/>
      <c r="AH144" s="739"/>
      <c r="AI144" s="739"/>
      <c r="AJ144" s="739"/>
      <c r="AK144" s="739"/>
      <c r="AL144" s="739"/>
      <c r="AM144" s="739"/>
      <c r="AN144" s="739"/>
      <c r="AO144" s="740"/>
      <c r="AP144" s="50"/>
      <c r="AQ144" s="738"/>
      <c r="AR144" s="739"/>
      <c r="AS144" s="739"/>
      <c r="AT144" s="739"/>
      <c r="AU144" s="739"/>
      <c r="AV144" s="739"/>
      <c r="AW144" s="739">
        <v>41191.050054453</v>
      </c>
      <c r="AX144" s="739">
        <f t="shared" si="13"/>
        <v>41191.050054453</v>
      </c>
      <c r="AY144" s="739">
        <v>41191.050054453</v>
      </c>
      <c r="AZ144" s="739">
        <f t="shared" si="9"/>
        <v>41191.050054453</v>
      </c>
      <c r="BA144" s="739"/>
      <c r="BB144" s="739"/>
      <c r="BC144" s="739"/>
      <c r="BD144" s="739"/>
      <c r="BE144" s="739"/>
      <c r="BF144" s="739"/>
      <c r="BG144" s="739"/>
      <c r="BH144" s="739"/>
      <c r="BI144" s="739"/>
      <c r="BJ144" s="739"/>
      <c r="BK144" s="739"/>
      <c r="BL144" s="739"/>
      <c r="BM144" s="739"/>
      <c r="BN144" s="739"/>
      <c r="BO144" s="739"/>
      <c r="BP144" s="739"/>
      <c r="BQ144" s="739"/>
      <c r="BR144" s="739"/>
      <c r="BS144" s="739"/>
      <c r="BT144" s="740"/>
    </row>
    <row r="145" spans="2:72" ht="14.5">
      <c r="B145" s="737"/>
      <c r="C145" s="737"/>
      <c r="D145" s="741" t="s">
        <v>771</v>
      </c>
      <c r="E145" s="737" t="s">
        <v>745</v>
      </c>
      <c r="F145" s="737"/>
      <c r="G145" s="737"/>
      <c r="H145" s="737" t="s">
        <v>848</v>
      </c>
      <c r="I145" s="636">
        <v>2019</v>
      </c>
      <c r="J145" s="636" t="s">
        <v>582</v>
      </c>
      <c r="K145" s="50"/>
      <c r="L145" s="738"/>
      <c r="M145" s="739"/>
      <c r="N145" s="739"/>
      <c r="O145" s="739"/>
      <c r="P145" s="739"/>
      <c r="Q145" s="739"/>
      <c r="R145" s="739">
        <f>AW145*(P113/AU113)</f>
        <v>5.6988350859517691</v>
      </c>
      <c r="S145" s="739">
        <f t="shared" si="15" ref="S145:T145">AX145*(Q113/AV113)</f>
        <v>5.6988350859517691</v>
      </c>
      <c r="T145" s="739">
        <f t="shared" si="15"/>
        <v>5.6988350859517691</v>
      </c>
      <c r="U145" s="739"/>
      <c r="V145" s="739"/>
      <c r="W145" s="739"/>
      <c r="X145" s="739"/>
      <c r="Y145" s="739"/>
      <c r="Z145" s="739"/>
      <c r="AA145" s="739"/>
      <c r="AB145" s="739"/>
      <c r="AC145" s="739"/>
      <c r="AD145" s="739"/>
      <c r="AE145" s="739"/>
      <c r="AF145" s="739"/>
      <c r="AG145" s="739"/>
      <c r="AH145" s="739"/>
      <c r="AI145" s="739"/>
      <c r="AJ145" s="739"/>
      <c r="AK145" s="739"/>
      <c r="AL145" s="739"/>
      <c r="AM145" s="739"/>
      <c r="AN145" s="739"/>
      <c r="AO145" s="740"/>
      <c r="AP145" s="50"/>
      <c r="AQ145" s="738"/>
      <c r="AR145" s="739"/>
      <c r="AS145" s="739"/>
      <c r="AT145" s="739"/>
      <c r="AU145" s="739"/>
      <c r="AV145" s="739"/>
      <c r="AW145" s="739">
        <v>11312.900000000005</v>
      </c>
      <c r="AX145" s="739">
        <f t="shared" si="13"/>
        <v>11312.900000000005</v>
      </c>
      <c r="AY145" s="739">
        <v>11312.900000000005</v>
      </c>
      <c r="AZ145" s="739">
        <f t="shared" si="9"/>
        <v>11312.900000000005</v>
      </c>
      <c r="BA145" s="739"/>
      <c r="BB145" s="739"/>
      <c r="BC145" s="739"/>
      <c r="BD145" s="739"/>
      <c r="BE145" s="739"/>
      <c r="BF145" s="739"/>
      <c r="BG145" s="739"/>
      <c r="BH145" s="739"/>
      <c r="BI145" s="739"/>
      <c r="BJ145" s="739"/>
      <c r="BK145" s="739"/>
      <c r="BL145" s="739"/>
      <c r="BM145" s="739"/>
      <c r="BN145" s="739"/>
      <c r="BO145" s="739"/>
      <c r="BP145" s="739"/>
      <c r="BQ145" s="739"/>
      <c r="BR145" s="739"/>
      <c r="BS145" s="739"/>
      <c r="BT145" s="740"/>
    </row>
    <row r="146" spans="2:72" ht="14.5">
      <c r="B146" s="737"/>
      <c r="C146" s="737"/>
      <c r="D146" s="741" t="s">
        <v>118</v>
      </c>
      <c r="E146" s="737" t="s">
        <v>745</v>
      </c>
      <c r="F146" s="737"/>
      <c r="G146" s="737"/>
      <c r="H146" s="737" t="s">
        <v>848</v>
      </c>
      <c r="I146" s="636">
        <v>2019</v>
      </c>
      <c r="J146" s="636" t="s">
        <v>582</v>
      </c>
      <c r="K146" s="50"/>
      <c r="L146" s="738"/>
      <c r="M146" s="739"/>
      <c r="N146" s="739"/>
      <c r="O146" s="739"/>
      <c r="P146" s="739"/>
      <c r="Q146" s="739"/>
      <c r="R146" s="739">
        <f>AW146*((Q119+Q122+R126)/(AV119+AV122+AW126))</f>
        <v>70.652043475291748</v>
      </c>
      <c r="S146" s="739">
        <f t="shared" si="16" ref="S146:T146">AX146*((R119+R122+S126)/(AW119+AW122+AX126))</f>
        <v>70.605329084374176</v>
      </c>
      <c r="T146" s="739">
        <f t="shared" si="16"/>
        <v>70.43032101529586</v>
      </c>
      <c r="U146" s="739"/>
      <c r="V146" s="739"/>
      <c r="W146" s="739"/>
      <c r="X146" s="739"/>
      <c r="Y146" s="739"/>
      <c r="Z146" s="739"/>
      <c r="AA146" s="739"/>
      <c r="AB146" s="739"/>
      <c r="AC146" s="739"/>
      <c r="AD146" s="739"/>
      <c r="AE146" s="739"/>
      <c r="AF146" s="739"/>
      <c r="AG146" s="739"/>
      <c r="AH146" s="739"/>
      <c r="AI146" s="739"/>
      <c r="AJ146" s="739"/>
      <c r="AK146" s="739"/>
      <c r="AL146" s="739"/>
      <c r="AM146" s="739"/>
      <c r="AN146" s="739"/>
      <c r="AO146" s="740"/>
      <c r="AP146" s="50"/>
      <c r="AQ146" s="738"/>
      <c r="AR146" s="739"/>
      <c r="AS146" s="739"/>
      <c r="AT146" s="739"/>
      <c r="AU146" s="739"/>
      <c r="AV146" s="739"/>
      <c r="AW146" s="739">
        <v>564275.63379100559</v>
      </c>
      <c r="AX146" s="739">
        <f>(AW146+AY146)/2</f>
        <v>562880.43290514918</v>
      </c>
      <c r="AY146" s="739">
        <v>561485.23201929289</v>
      </c>
      <c r="AZ146" s="739">
        <f>AY146-(AX146-AY146)</f>
        <v>560090.0311334366</v>
      </c>
      <c r="BA146" s="739"/>
      <c r="BB146" s="739"/>
      <c r="BC146" s="739"/>
      <c r="BD146" s="739"/>
      <c r="BE146" s="739"/>
      <c r="BF146" s="739"/>
      <c r="BG146" s="739"/>
      <c r="BH146" s="739"/>
      <c r="BI146" s="739"/>
      <c r="BJ146" s="739"/>
      <c r="BK146" s="739"/>
      <c r="BL146" s="739"/>
      <c r="BM146" s="739"/>
      <c r="BN146" s="739"/>
      <c r="BO146" s="739"/>
      <c r="BP146" s="739"/>
      <c r="BQ146" s="739"/>
      <c r="BR146" s="739"/>
      <c r="BS146" s="739"/>
      <c r="BT146" s="740"/>
    </row>
    <row r="147" spans="2:72" ht="14.5">
      <c r="B147" s="737"/>
      <c r="C147" s="737"/>
      <c r="D147" s="741" t="s">
        <v>772</v>
      </c>
      <c r="E147" s="737" t="s">
        <v>745</v>
      </c>
      <c r="F147" s="737"/>
      <c r="G147" s="737"/>
      <c r="H147" s="737" t="s">
        <v>848</v>
      </c>
      <c r="I147" s="636">
        <v>2019</v>
      </c>
      <c r="J147" s="636" t="s">
        <v>582</v>
      </c>
      <c r="K147" s="50"/>
      <c r="L147" s="738"/>
      <c r="M147" s="739"/>
      <c r="N147" s="739"/>
      <c r="O147" s="739"/>
      <c r="P147" s="739"/>
      <c r="Q147" s="739"/>
      <c r="R147" s="837">
        <f>AW147*((R127)/(AW127))</f>
        <v>0.00018178181070651933</v>
      </c>
      <c r="S147" s="837">
        <f t="shared" si="17" ref="S147:T147">AX147*((S127)/(AX127))</f>
        <v>0.00018178181070651933</v>
      </c>
      <c r="T147" s="837">
        <f t="shared" si="17"/>
        <v>0.00018178181070651933</v>
      </c>
      <c r="U147" s="739"/>
      <c r="V147" s="739"/>
      <c r="W147" s="739"/>
      <c r="X147" s="739"/>
      <c r="Y147" s="739"/>
      <c r="Z147" s="739"/>
      <c r="AA147" s="739"/>
      <c r="AB147" s="739"/>
      <c r="AC147" s="739"/>
      <c r="AD147" s="739"/>
      <c r="AE147" s="739"/>
      <c r="AF147" s="739"/>
      <c r="AG147" s="739"/>
      <c r="AH147" s="739"/>
      <c r="AI147" s="739"/>
      <c r="AJ147" s="739"/>
      <c r="AK147" s="739"/>
      <c r="AL147" s="739"/>
      <c r="AM147" s="739"/>
      <c r="AN147" s="739"/>
      <c r="AO147" s="740"/>
      <c r="AP147" s="50"/>
      <c r="AQ147" s="738"/>
      <c r="AR147" s="739"/>
      <c r="AS147" s="739"/>
      <c r="AT147" s="739"/>
      <c r="AU147" s="739"/>
      <c r="AV147" s="739"/>
      <c r="AW147" s="739">
        <v>0.94096324615384619</v>
      </c>
      <c r="AX147" s="739">
        <f>(AW147+AY147)/2</f>
        <v>0.94096324615384619</v>
      </c>
      <c r="AY147" s="739">
        <v>0.94096324615384619</v>
      </c>
      <c r="AZ147" s="739">
        <f t="shared" si="9"/>
        <v>0.94096324615384619</v>
      </c>
      <c r="BA147" s="739"/>
      <c r="BB147" s="739"/>
      <c r="BC147" s="739"/>
      <c r="BD147" s="739"/>
      <c r="BE147" s="739"/>
      <c r="BF147" s="739"/>
      <c r="BG147" s="739"/>
      <c r="BH147" s="739"/>
      <c r="BI147" s="739"/>
      <c r="BJ147" s="739"/>
      <c r="BK147" s="739"/>
      <c r="BL147" s="739"/>
      <c r="BM147" s="739"/>
      <c r="BN147" s="739"/>
      <c r="BO147" s="739"/>
      <c r="BP147" s="739"/>
      <c r="BQ147" s="739"/>
      <c r="BR147" s="739"/>
      <c r="BS147" s="739"/>
      <c r="BT147" s="740"/>
    </row>
    <row r="148" spans="2:72" ht="14.5">
      <c r="B148" s="737"/>
      <c r="C148" s="737"/>
      <c r="D148" s="741"/>
      <c r="E148" s="737"/>
      <c r="F148" s="737"/>
      <c r="G148" s="737"/>
      <c r="H148" s="737"/>
      <c r="I148" s="636"/>
      <c r="J148" s="636"/>
      <c r="K148" s="50"/>
      <c r="L148" s="738"/>
      <c r="M148" s="739"/>
      <c r="N148" s="739"/>
      <c r="O148" s="739"/>
      <c r="P148" s="739"/>
      <c r="Q148" s="739"/>
      <c r="R148" s="739"/>
      <c r="S148" s="739"/>
      <c r="T148" s="739"/>
      <c r="U148" s="739"/>
      <c r="V148" s="739"/>
      <c r="W148" s="739"/>
      <c r="X148" s="739"/>
      <c r="Y148" s="739"/>
      <c r="Z148" s="739"/>
      <c r="AA148" s="739"/>
      <c r="AB148" s="739"/>
      <c r="AC148" s="739"/>
      <c r="AD148" s="739"/>
      <c r="AE148" s="739"/>
      <c r="AF148" s="739"/>
      <c r="AG148" s="739"/>
      <c r="AH148" s="739"/>
      <c r="AI148" s="739"/>
      <c r="AJ148" s="739"/>
      <c r="AK148" s="739"/>
      <c r="AL148" s="739"/>
      <c r="AM148" s="739"/>
      <c r="AN148" s="739"/>
      <c r="AO148" s="740"/>
      <c r="AP148" s="50"/>
      <c r="AQ148" s="738"/>
      <c r="AR148" s="739"/>
      <c r="AS148" s="739"/>
      <c r="AT148" s="739"/>
      <c r="AU148" s="739"/>
      <c r="AV148" s="739"/>
      <c r="AW148" s="739"/>
      <c r="AX148" s="739"/>
      <c r="AY148" s="739"/>
      <c r="AZ148" s="739"/>
      <c r="BA148" s="739"/>
      <c r="BB148" s="739"/>
      <c r="BC148" s="739"/>
      <c r="BD148" s="739"/>
      <c r="BE148" s="739"/>
      <c r="BF148" s="739"/>
      <c r="BG148" s="739"/>
      <c r="BH148" s="739"/>
      <c r="BI148" s="739"/>
      <c r="BJ148" s="739"/>
      <c r="BK148" s="739"/>
      <c r="BL148" s="739"/>
      <c r="BM148" s="739"/>
      <c r="BN148" s="739"/>
      <c r="BO148" s="739"/>
      <c r="BP148" s="739"/>
      <c r="BQ148" s="739"/>
      <c r="BR148" s="739"/>
      <c r="BS148" s="739"/>
      <c r="BT148" s="740"/>
    </row>
    <row r="151" spans="25:25" ht="14.5">
      <c r="Y151" s="832"/>
    </row>
    <row r="152" spans="25:25" ht="14.5">
      <c r="Y152" s="832"/>
    </row>
    <row r="153" spans="25:25" ht="14.5">
      <c r="Y153" s="832"/>
    </row>
    <row r="154" spans="25:25" ht="14.5">
      <c r="Y154" s="832"/>
    </row>
    <row r="155" spans="4:25" ht="14.5">
      <c r="D155" s="840"/>
      <c r="Y155" s="832"/>
    </row>
    <row r="156" spans="25:25" ht="14.5">
      <c r="Y156" s="832"/>
    </row>
    <row r="157" spans="25:25" ht="14.5">
      <c r="Y157" s="832"/>
    </row>
    <row r="158" spans="25:25" ht="14.5">
      <c r="Y158" s="832"/>
    </row>
    <row r="159" spans="25:25" ht="14.5">
      <c r="Y159" s="832"/>
    </row>
    <row r="160" spans="25:25" ht="14.5">
      <c r="Y160" s="832"/>
    </row>
    <row r="161" spans="25:25" ht="14.5">
      <c r="Y161" s="832"/>
    </row>
    <row r="162" spans="25:25" ht="14.5">
      <c r="Y162" s="832"/>
    </row>
    <row r="163" spans="25:25" ht="14.5">
      <c r="Y163" s="832"/>
    </row>
    <row r="164" spans="25:25" ht="14.5">
      <c r="Y164" s="832"/>
    </row>
    <row r="165" spans="25:25" ht="14.5">
      <c r="Y165" s="832"/>
    </row>
    <row r="166" spans="25:25" ht="14.5">
      <c r="Y166" s="832"/>
    </row>
    <row r="167" spans="25:25" ht="14.5">
      <c r="Y167" s="832"/>
    </row>
    <row r="168" spans="25:25" ht="14.5">
      <c r="Y168" s="832"/>
    </row>
    <row r="169" spans="25:25" ht="14.5">
      <c r="Y169" s="832"/>
    </row>
    <row r="170" spans="25:25" ht="14.5">
      <c r="Y170" s="832"/>
    </row>
    <row r="171" spans="25:25" ht="14.5">
      <c r="Y171" s="832"/>
    </row>
    <row r="172" spans="25:25" ht="14.5">
      <c r="Y172" s="832"/>
    </row>
    <row r="173" spans="25:25" ht="14.5">
      <c r="Y173" s="832"/>
    </row>
    <row r="174" spans="25:25" ht="14.5">
      <c r="Y174" s="832"/>
    </row>
    <row r="175" spans="25:25" ht="14.5">
      <c r="Y175" s="832"/>
    </row>
    <row r="176" spans="25:25" ht="14.5">
      <c r="Y176" s="832"/>
    </row>
    <row r="177" spans="25:25" ht="14.5">
      <c r="Y177" s="832"/>
    </row>
    <row r="178" spans="25:25" ht="14.5">
      <c r="Y178" s="832"/>
    </row>
    <row r="179" spans="25:25" ht="14.5">
      <c r="Y179" s="832"/>
    </row>
    <row r="180" spans="25:25" ht="14.5">
      <c r="Y180" s="832"/>
    </row>
    <row r="181" spans="25:25" ht="14.5">
      <c r="Y181" s="832"/>
    </row>
    <row r="182" spans="25:25" ht="14.5">
      <c r="Y182" s="832"/>
    </row>
    <row r="183" spans="25:25" ht="14.5">
      <c r="Y183" s="832"/>
    </row>
    <row r="184" spans="25:25" ht="14.5">
      <c r="Y184" s="832"/>
    </row>
    <row r="185" spans="25:25" ht="14.5">
      <c r="Y185" s="832"/>
    </row>
    <row r="186" spans="25:25" ht="14.5">
      <c r="Y186" s="832"/>
    </row>
    <row r="187" spans="25:25" ht="14.5">
      <c r="Y187" s="832"/>
    </row>
    <row r="188" spans="25:25" ht="14.5">
      <c r="Y188" s="832"/>
    </row>
    <row r="189" spans="25:25" ht="14.5">
      <c r="Y189" s="832"/>
    </row>
    <row r="190" spans="25:25" ht="14.5">
      <c r="Y190" s="832">
        <f t="shared" si="18" ref="Y190:Y196">AZ113/V113</f>
        <v>1985.125</v>
      </c>
    </row>
    <row r="191" spans="25:25" ht="14.5">
      <c r="Y191" s="832">
        <f t="shared" si="18"/>
        <v>8614.9375</v>
      </c>
    </row>
    <row r="192" spans="25:25" ht="14.5">
      <c r="Y192" s="832">
        <f t="shared" si="18"/>
        <v>2807.121212121212</v>
      </c>
    </row>
    <row r="193" spans="25:25" ht="14.5">
      <c r="Y193" s="832">
        <f t="shared" si="18"/>
        <v>3140</v>
      </c>
    </row>
    <row r="194" spans="25:25" ht="14.5">
      <c r="Y194" s="832">
        <f t="shared" si="18"/>
        <v>15432.685039370079</v>
      </c>
    </row>
    <row r="195" spans="25:25" ht="14.5">
      <c r="Y195" s="832">
        <f t="shared" si="18"/>
        <v>3335.5447154471544</v>
      </c>
    </row>
    <row r="196" spans="25:25" ht="14.5">
      <c r="Y196" s="832">
        <f t="shared" si="18"/>
        <v>19878.066666666666</v>
      </c>
    </row>
  </sheetData>
  <autoFilter ref="C26:BT26">
    <sortState ref="C26:BT42">
      <sortCondition sortBy="value" ref="H26:H42"/>
    </sortState>
  </autoFilter>
  <mergeCells count="1">
    <mergeCell ref="C24:G24"/>
  </mergeCells>
  <conditionalFormatting sqref="AW128:BS128 L123:Q124 L117:P122 L104:O116 AR29:BS38 L27:AO43 AQ40:BS127 AQ27:AQ39 L44:AN103 AQ147:AW147 BA147:BT147 AY147 L147:AO148 AQ148:BT148">
    <cfRule type="cellIs" priority="36" dxfId="0" operator="equal">
      <formula>0</formula>
    </cfRule>
  </conditionalFormatting>
  <conditionalFormatting sqref="AQ128:AV128 AQ129:AW134 BA129:BT134 V130:AO134 V129:AN129 AY129:AY135 L129:U134">
    <cfRule type="cellIs" priority="35" dxfId="0" operator="equal">
      <formula>0</formula>
    </cfRule>
  </conditionalFormatting>
  <conditionalFormatting sqref="L27:AO32">
    <cfRule type="cellIs" priority="34" dxfId="0" operator="equal">
      <formula>0</formula>
    </cfRule>
  </conditionalFormatting>
  <conditionalFormatting sqref="AQ40:BS43">
    <cfRule type="cellIs" priority="33" dxfId="0" operator="equal">
      <formula>0</formula>
    </cfRule>
  </conditionalFormatting>
  <conditionalFormatting sqref="L125:Q128">
    <cfRule type="cellIs" priority="32" dxfId="0" operator="equal">
      <formula>0</formula>
    </cfRule>
  </conditionalFormatting>
  <conditionalFormatting sqref="R104:AN128 Q104:Q122 P104:P116">
    <cfRule type="cellIs" priority="30" dxfId="0" operator="equal">
      <formula>0</formula>
    </cfRule>
  </conditionalFormatting>
  <conditionalFormatting sqref="BT105:BT128">
    <cfRule type="cellIs" priority="31" dxfId="0" operator="equal">
      <formula>0</formula>
    </cfRule>
  </conditionalFormatting>
  <conditionalFormatting sqref="AR35:BS39">
    <cfRule type="cellIs" priority="29" dxfId="0" operator="equal">
      <formula>0</formula>
    </cfRule>
  </conditionalFormatting>
  <conditionalFormatting sqref="AR39:BS39">
    <cfRule type="cellIs" priority="28" dxfId="0" operator="equal">
      <formula>0</formula>
    </cfRule>
  </conditionalFormatting>
  <conditionalFormatting sqref="AR27:BS28">
    <cfRule type="cellIs" priority="27" dxfId="0" operator="equal">
      <formula>0</formula>
    </cfRule>
  </conditionalFormatting>
  <conditionalFormatting sqref="AO40 AO43">
    <cfRule type="cellIs" priority="26" dxfId="0" operator="equal">
      <formula>0</formula>
    </cfRule>
  </conditionalFormatting>
  <conditionalFormatting sqref="AQ44">
    <cfRule type="cellIs" priority="25" dxfId="0" operator="equal">
      <formula>0</formula>
    </cfRule>
  </conditionalFormatting>
  <conditionalFormatting sqref="BT27:BT104">
    <cfRule type="cellIs" priority="24" dxfId="0" operator="equal">
      <formula>0</formula>
    </cfRule>
  </conditionalFormatting>
  <conditionalFormatting sqref="AQ31:AQ32">
    <cfRule type="cellIs" priority="23" dxfId="0" operator="equal">
      <formula>0</formula>
    </cfRule>
  </conditionalFormatting>
  <conditionalFormatting sqref="AO44:AO129">
    <cfRule type="cellIs" priority="22" dxfId="0" operator="equal">
      <formula>0</formula>
    </cfRule>
  </conditionalFormatting>
  <conditionalFormatting sqref="AO44:AO129">
    <cfRule type="cellIs" priority="21" dxfId="0" operator="equal">
      <formula>0</formula>
    </cfRule>
  </conditionalFormatting>
  <conditionalFormatting sqref="AX129:AX134">
    <cfRule type="cellIs" priority="20" dxfId="0" operator="equal">
      <formula>0</formula>
    </cfRule>
  </conditionalFormatting>
  <conditionalFormatting sqref="AZ129:AZ133">
    <cfRule type="cellIs" priority="19" dxfId="0" operator="equal">
      <formula>0</formula>
    </cfRule>
  </conditionalFormatting>
  <conditionalFormatting sqref="AW136:BS136 AQ135:AX135 AZ135:BS135">
    <cfRule type="cellIs" priority="18" dxfId="0" operator="equal">
      <formula>0</formula>
    </cfRule>
  </conditionalFormatting>
  <conditionalFormatting sqref="AQ136:AV136 BA137:BT142 AY137:AY142 V138:AO142 V137:AN137 AQ137:AW142 L137:U142">
    <cfRule type="cellIs" priority="17" dxfId="0" operator="equal">
      <formula>0</formula>
    </cfRule>
  </conditionalFormatting>
  <conditionalFormatting sqref="L135:Q136">
    <cfRule type="cellIs" priority="16" dxfId="0" operator="equal">
      <formula>0</formula>
    </cfRule>
  </conditionalFormatting>
  <conditionalFormatting sqref="R135:AN136">
    <cfRule type="cellIs" priority="14" dxfId="0" operator="equal">
      <formula>0</formula>
    </cfRule>
  </conditionalFormatting>
  <conditionalFormatting sqref="BT135:BT136">
    <cfRule type="cellIs" priority="15" dxfId="0" operator="equal">
      <formula>0</formula>
    </cfRule>
  </conditionalFormatting>
  <conditionalFormatting sqref="AO135:AO137">
    <cfRule type="cellIs" priority="13" dxfId="0" operator="equal">
      <formula>0</formula>
    </cfRule>
  </conditionalFormatting>
  <conditionalFormatting sqref="AO135:AO137">
    <cfRule type="cellIs" priority="12" dxfId="0" operator="equal">
      <formula>0</formula>
    </cfRule>
  </conditionalFormatting>
  <conditionalFormatting sqref="AX137:AX142">
    <cfRule type="cellIs" priority="11" dxfId="0" operator="equal">
      <formula>0</formula>
    </cfRule>
  </conditionalFormatting>
  <conditionalFormatting sqref="AZ137:AZ138">
    <cfRule type="cellIs" priority="10" dxfId="0" operator="equal">
      <formula>0</formula>
    </cfRule>
  </conditionalFormatting>
  <conditionalFormatting sqref="AZ134">
    <cfRule type="cellIs" priority="7" dxfId="0" operator="equal">
      <formula>0</formula>
    </cfRule>
  </conditionalFormatting>
  <conditionalFormatting sqref="AQ143:AW146 BA143:BT146 AY143:AY146 L143:AO146">
    <cfRule type="cellIs" priority="6" dxfId="0" operator="equal">
      <formula>0</formula>
    </cfRule>
  </conditionalFormatting>
  <conditionalFormatting sqref="AX143:AX147">
    <cfRule type="cellIs" priority="5" dxfId="0" operator="equal">
      <formula>0</formula>
    </cfRule>
  </conditionalFormatting>
  <conditionalFormatting sqref="AZ139:AZ147">
    <cfRule type="cellIs" priority="4" dxfId="0" operator="equal">
      <formula>0</formula>
    </cfRule>
  </conditionalFormatting>
  <dataValidations count="2">
    <dataValidation type="list" allowBlank="1" showInputMessage="1" showErrorMessage="1" sqref="I149:I1048576">
      <formula1>DropDownList!$G$2:$G$11</formula1>
    </dataValidation>
    <dataValidation type="list" allowBlank="1" showInputMessage="1" showErrorMessage="1" sqref="J149:J1048576">
      <formula1>DropDownList!$H$2:$H$3</formula1>
    </dataValidation>
  </dataValidations>
  <pageMargins left="0.7" right="0.7" top="0.75" bottom="0.75" header="0.3" footer="0.3"/>
  <pageSetup orientation="landscape" scale="16" r:id="rId2"/>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3:AM157"/>
  <sheetViews>
    <sheetView zoomScale="90" zoomScaleNormal="90" workbookViewId="0" topLeftCell="A110">
      <selection pane="topLeft" activeCell="W167" sqref="W167"/>
    </sheetView>
  </sheetViews>
  <sheetFormatPr defaultColWidth="9.00428571428571" defaultRowHeight="14.5"/>
  <cols>
    <col min="1" max="1" width="9" style="12"/>
    <col min="2" max="2" width="10" style="12" customWidth="1"/>
    <col min="3" max="3" width="11.4285714285714" style="12" customWidth="1"/>
    <col min="4" max="4" width="13.4285714285714" style="12" customWidth="1"/>
    <col min="5" max="6" width="12.8571428571429" style="12" customWidth="1"/>
    <col min="7" max="7" width="12" style="799" customWidth="1"/>
    <col min="8" max="8" width="9" style="12"/>
    <col min="9" max="9" width="24.5714285714286" style="12" hidden="1" customWidth="1"/>
    <col min="10" max="10" width="11" style="12" hidden="1" customWidth="1"/>
    <col min="11" max="11" width="0" style="12" hidden="1" customWidth="1"/>
    <col min="12" max="12" width="11.5714285714286" style="12" hidden="1" customWidth="1"/>
    <col min="13" max="13" width="0" style="12" hidden="1" customWidth="1"/>
    <col min="14" max="14" width="26" style="12" hidden="1" customWidth="1"/>
    <col min="15" max="15" width="10" style="12" hidden="1" customWidth="1"/>
    <col min="16" max="16" width="0" style="12" hidden="1" customWidth="1"/>
    <col min="17" max="17" width="12.4285714285714" style="12" hidden="1" customWidth="1"/>
    <col min="18" max="18" width="0" style="12" hidden="1" customWidth="1"/>
    <col min="19" max="19" width="9" style="12"/>
    <col min="20" max="20" width="18.5714285714286" style="12" customWidth="1"/>
    <col min="21" max="21" width="14.5714285714286" style="12" bestFit="1" customWidth="1"/>
    <col min="22" max="23" width="13.4285714285714" style="12" bestFit="1" customWidth="1"/>
    <col min="24" max="24" width="4.57142857142857" style="12" customWidth="1"/>
    <col min="25" max="25" width="4.42857142857143" style="12" customWidth="1"/>
    <col min="26" max="26" width="14" style="12" customWidth="1"/>
    <col min="27" max="28" width="9.85714285714286" style="12" bestFit="1" customWidth="1"/>
    <col min="29" max="29" width="11.1428571428571" style="12" bestFit="1" customWidth="1"/>
    <col min="30" max="32" width="9.85714285714286" style="12" bestFit="1" customWidth="1"/>
    <col min="33" max="35" width="13.8571428571429" style="12" bestFit="1" customWidth="1"/>
    <col min="36" max="38" width="12.1428571428571" style="12" bestFit="1" customWidth="1"/>
    <col min="39" max="39" width="13.8571428571429" style="12" bestFit="1" customWidth="1"/>
    <col min="40" max="16384" width="9" style="12"/>
  </cols>
  <sheetData>
    <row r="12" ht="24" customHeight="1" thickBot="1"/>
    <row r="13" spans="1:18" s="9" customFormat="1" ht="23.4" customHeight="1" thickBot="1">
      <c r="A13" s="581"/>
      <c r="B13" s="581" t="s">
        <v>171</v>
      </c>
      <c r="D13" s="126" t="s">
        <v>175</v>
      </c>
      <c r="E13" s="727"/>
      <c r="F13" s="727"/>
      <c r="G13" s="800"/>
      <c r="H13" s="178"/>
      <c r="I13" s="179"/>
      <c r="L13" s="179"/>
      <c r="M13" s="177"/>
      <c r="N13" s="177"/>
      <c r="O13" s="177"/>
      <c r="P13" s="177"/>
      <c r="Q13" s="177"/>
      <c r="R13" s="180"/>
    </row>
    <row r="14" spans="2:18" s="9" customFormat="1" ht="15.75" customHeight="1">
      <c r="B14" s="544"/>
      <c r="D14" s="17"/>
      <c r="E14" s="17"/>
      <c r="F14" s="17"/>
      <c r="G14" s="800"/>
      <c r="H14" s="178"/>
      <c r="I14" s="179"/>
      <c r="L14" s="179"/>
      <c r="M14" s="177"/>
      <c r="N14" s="177"/>
      <c r="O14" s="177"/>
      <c r="P14" s="177"/>
      <c r="Q14" s="177"/>
      <c r="R14" s="180"/>
    </row>
    <row r="15" spans="2:2" ht="15.5">
      <c r="B15" s="581" t="s">
        <v>504</v>
      </c>
    </row>
    <row r="16" spans="2:2" ht="15.5">
      <c r="B16" s="581"/>
    </row>
    <row r="17" spans="2:21" s="660" customFormat="1" ht="20.4" customHeight="1">
      <c r="B17" s="658" t="s">
        <v>664</v>
      </c>
      <c r="C17" s="659"/>
      <c r="D17" s="659"/>
      <c r="E17" s="659"/>
      <c r="F17" s="659"/>
      <c r="G17" s="801"/>
      <c r="H17" s="659"/>
      <c r="I17" s="659"/>
      <c r="J17" s="659"/>
      <c r="K17" s="659"/>
      <c r="L17" s="659"/>
      <c r="M17" s="659"/>
      <c r="N17" s="659"/>
      <c r="O17" s="659"/>
      <c r="P17" s="659"/>
      <c r="Q17" s="659"/>
      <c r="R17" s="659"/>
      <c r="S17" s="659"/>
      <c r="T17" s="659"/>
      <c r="U17" s="659"/>
    </row>
    <row r="18" spans="2:21" ht="60" customHeight="1">
      <c r="B18" s="917" t="s">
        <v>704</v>
      </c>
      <c r="C18" s="917"/>
      <c r="D18" s="917"/>
      <c r="E18" s="917"/>
      <c r="F18" s="917"/>
      <c r="G18" s="917"/>
      <c r="H18" s="917"/>
      <c r="I18" s="917"/>
      <c r="J18" s="917"/>
      <c r="K18" s="917"/>
      <c r="L18" s="917"/>
      <c r="M18" s="917"/>
      <c r="N18" s="917"/>
      <c r="O18" s="917"/>
      <c r="P18" s="917"/>
      <c r="Q18" s="917"/>
      <c r="R18" s="917"/>
      <c r="S18" s="917"/>
      <c r="T18" s="917"/>
      <c r="U18" s="917"/>
    </row>
    <row r="20" spans="2:2" ht="21">
      <c r="B20" s="725" t="s">
        <v>701</v>
      </c>
    </row>
    <row r="22" spans="2:28" ht="21">
      <c r="B22" s="725" t="s">
        <v>702</v>
      </c>
      <c r="C22" s="726"/>
      <c r="E22" s="726"/>
      <c r="F22" s="726"/>
      <c r="G22" s="802"/>
      <c r="I22" s="725" t="s">
        <v>703</v>
      </c>
      <c r="AB22" s="840"/>
    </row>
    <row r="23" spans="2:14" ht="18.75" customHeight="1">
      <c r="B23" s="916" t="s">
        <v>680</v>
      </c>
      <c r="C23" s="916"/>
      <c r="D23" s="916"/>
      <c r="E23" s="916"/>
      <c r="F23" s="916"/>
      <c r="G23" s="916"/>
      <c r="I23" s="12" t="s">
        <v>688</v>
      </c>
      <c r="N23" s="12" t="s">
        <v>689</v>
      </c>
    </row>
    <row r="24" spans="2:22" ht="43.5">
      <c r="B24" s="736" t="s">
        <v>62</v>
      </c>
      <c r="C24" s="736" t="s">
        <v>681</v>
      </c>
      <c r="D24" s="736" t="s">
        <v>682</v>
      </c>
      <c r="E24" s="736" t="s">
        <v>684</v>
      </c>
      <c r="F24" s="736" t="s">
        <v>809</v>
      </c>
      <c r="G24" s="803" t="s">
        <v>683</v>
      </c>
      <c r="I24" s="736" t="s">
        <v>685</v>
      </c>
      <c r="J24" s="736" t="s">
        <v>686</v>
      </c>
      <c r="K24" s="736" t="s">
        <v>687</v>
      </c>
      <c r="L24" s="736" t="s">
        <v>681</v>
      </c>
      <c r="N24" s="736" t="s">
        <v>685</v>
      </c>
      <c r="O24" s="736" t="s">
        <v>686</v>
      </c>
      <c r="P24" s="736" t="s">
        <v>687</v>
      </c>
      <c r="Q24" s="736" t="s">
        <v>681</v>
      </c>
      <c r="T24" s="826"/>
      <c r="U24" s="826" t="s">
        <v>844</v>
      </c>
      <c r="V24" s="826" t="s">
        <v>839</v>
      </c>
    </row>
    <row r="25" spans="2:22" ht="16.5">
      <c r="B25" s="736"/>
      <c r="C25" s="736" t="s">
        <v>691</v>
      </c>
      <c r="D25" s="736" t="s">
        <v>692</v>
      </c>
      <c r="E25" s="736" t="s">
        <v>693</v>
      </c>
      <c r="F25" s="736" t="s">
        <v>695</v>
      </c>
      <c r="G25" s="803" t="s">
        <v>842</v>
      </c>
      <c r="I25" s="736"/>
      <c r="J25" s="736" t="s">
        <v>695</v>
      </c>
      <c r="K25" s="736" t="s">
        <v>696</v>
      </c>
      <c r="L25" s="736" t="s">
        <v>697</v>
      </c>
      <c r="N25" s="736"/>
      <c r="O25" s="736" t="s">
        <v>698</v>
      </c>
      <c r="P25" s="736" t="s">
        <v>699</v>
      </c>
      <c r="Q25" s="736" t="s">
        <v>700</v>
      </c>
      <c r="T25" s="826" t="s">
        <v>840</v>
      </c>
      <c r="U25" s="826" t="s">
        <v>843</v>
      </c>
      <c r="V25" s="826" t="s">
        <v>841</v>
      </c>
    </row>
    <row r="26" spans="2:24" ht="15.75" customHeight="1">
      <c r="B26" s="724">
        <v>42005</v>
      </c>
      <c r="C26" s="723"/>
      <c r="D26" s="730"/>
      <c r="E26" s="723"/>
      <c r="F26" s="723">
        <v>12</v>
      </c>
      <c r="G26" s="804">
        <f>D26*E26*F26</f>
        <v>0</v>
      </c>
      <c r="I26" s="723" t="s">
        <v>807</v>
      </c>
      <c r="J26" s="723"/>
      <c r="K26" s="723"/>
      <c r="L26" s="723"/>
      <c r="N26" s="723"/>
      <c r="O26" s="723"/>
      <c r="P26" s="723"/>
      <c r="Q26" s="723"/>
      <c r="T26" s="724">
        <f>B26</f>
        <v>42005</v>
      </c>
      <c r="U26" s="723">
        <f t="shared" si="0" ref="U26:U34">G26*V26</f>
        <v>0</v>
      </c>
      <c r="V26" s="833">
        <v>451.37994892445795</v>
      </c>
      <c r="X26" s="12" t="s">
        <v>849</v>
      </c>
    </row>
    <row r="27" spans="2:25" ht="15.75" customHeight="1">
      <c r="B27" s="724">
        <v>42036</v>
      </c>
      <c r="C27" s="723"/>
      <c r="D27" s="733">
        <f>C27-C26</f>
        <v>0</v>
      </c>
      <c r="E27" s="723"/>
      <c r="F27" s="723">
        <v>11</v>
      </c>
      <c r="G27" s="804">
        <f t="shared" si="1" ref="G27:G36">D27*E27*F27</f>
        <v>0</v>
      </c>
      <c r="I27" s="723"/>
      <c r="J27" s="723"/>
      <c r="K27" s="723"/>
      <c r="L27" s="723"/>
      <c r="N27" s="723"/>
      <c r="O27" s="723"/>
      <c r="P27" s="723"/>
      <c r="Q27" s="723"/>
      <c r="T27" s="724">
        <f t="shared" si="2" ref="T27:T37">B27</f>
        <v>42036</v>
      </c>
      <c r="U27" s="723">
        <f t="shared" si="0"/>
        <v>0</v>
      </c>
      <c r="V27" s="833">
        <v>389.01886907236951</v>
      </c>
      <c r="Y27" s="12" t="s">
        <v>850</v>
      </c>
    </row>
    <row r="28" spans="2:26" ht="15.75" customHeight="1">
      <c r="B28" s="724">
        <v>42064</v>
      </c>
      <c r="C28" s="723"/>
      <c r="D28" s="733">
        <f t="shared" si="3" ref="D28:D37">C28-C27</f>
        <v>0</v>
      </c>
      <c r="E28" s="723"/>
      <c r="F28" s="723">
        <v>10</v>
      </c>
      <c r="G28" s="804">
        <f t="shared" si="1"/>
        <v>0</v>
      </c>
      <c r="I28" s="723"/>
      <c r="J28" s="723"/>
      <c r="K28" s="723"/>
      <c r="L28" s="723"/>
      <c r="N28" s="723"/>
      <c r="O28" s="723"/>
      <c r="P28" s="723"/>
      <c r="Q28" s="723"/>
      <c r="T28" s="724">
        <f t="shared" si="2"/>
        <v>42064</v>
      </c>
      <c r="U28" s="723">
        <f t="shared" si="0"/>
        <v>0</v>
      </c>
      <c r="V28" s="833">
        <v>372.2876474295274</v>
      </c>
      <c r="Z28" s="12" t="s">
        <v>851</v>
      </c>
    </row>
    <row r="29" spans="2:25" ht="15.75" customHeight="1">
      <c r="B29" s="724">
        <v>42095</v>
      </c>
      <c r="C29" s="723"/>
      <c r="D29" s="733">
        <f t="shared" si="3"/>
        <v>0</v>
      </c>
      <c r="E29" s="723"/>
      <c r="F29" s="723">
        <v>9</v>
      </c>
      <c r="G29" s="804">
        <f t="shared" si="1"/>
        <v>0</v>
      </c>
      <c r="I29" s="723"/>
      <c r="J29" s="723"/>
      <c r="K29" s="723"/>
      <c r="L29" s="723"/>
      <c r="N29" s="723"/>
      <c r="O29" s="723"/>
      <c r="P29" s="723"/>
      <c r="Q29" s="723"/>
      <c r="T29" s="724">
        <f t="shared" si="2"/>
        <v>42095</v>
      </c>
      <c r="U29" s="723">
        <f t="shared" si="0"/>
        <v>0</v>
      </c>
      <c r="V29" s="833">
        <v>316.61877213705907</v>
      </c>
      <c r="Y29" s="12" t="s">
        <v>852</v>
      </c>
    </row>
    <row r="30" spans="2:22" ht="15.75" customHeight="1">
      <c r="B30" s="724">
        <v>42125</v>
      </c>
      <c r="C30" s="723"/>
      <c r="D30" s="733">
        <f t="shared" si="3"/>
        <v>0</v>
      </c>
      <c r="E30" s="723"/>
      <c r="F30" s="723">
        <v>8</v>
      </c>
      <c r="G30" s="804">
        <f t="shared" si="1"/>
        <v>0</v>
      </c>
      <c r="I30" s="723"/>
      <c r="J30" s="723"/>
      <c r="K30" s="723"/>
      <c r="L30" s="723"/>
      <c r="N30" s="723"/>
      <c r="O30" s="723"/>
      <c r="P30" s="723"/>
      <c r="Q30" s="723"/>
      <c r="T30" s="724">
        <f t="shared" si="2"/>
        <v>42125</v>
      </c>
      <c r="U30" s="723">
        <f t="shared" si="0"/>
        <v>0</v>
      </c>
      <c r="V30" s="833">
        <v>287.61735052653427</v>
      </c>
    </row>
    <row r="31" spans="2:22" ht="15.75" customHeight="1">
      <c r="B31" s="724">
        <v>42156</v>
      </c>
      <c r="C31" s="723"/>
      <c r="D31" s="733">
        <f t="shared" si="3"/>
        <v>0</v>
      </c>
      <c r="E31" s="723"/>
      <c r="F31" s="723">
        <v>7</v>
      </c>
      <c r="G31" s="804">
        <f t="shared" si="1"/>
        <v>0</v>
      </c>
      <c r="I31" s="723"/>
      <c r="J31" s="723"/>
      <c r="K31" s="723"/>
      <c r="L31" s="723"/>
      <c r="N31" s="723"/>
      <c r="O31" s="723"/>
      <c r="P31" s="723"/>
      <c r="Q31" s="723"/>
      <c r="T31" s="724">
        <f t="shared" si="2"/>
        <v>42156</v>
      </c>
      <c r="U31" s="723">
        <f t="shared" si="0"/>
        <v>0</v>
      </c>
      <c r="V31" s="833">
        <v>259.86747980357978</v>
      </c>
    </row>
    <row r="32" spans="2:22" ht="15.75" customHeight="1">
      <c r="B32" s="724">
        <v>42186</v>
      </c>
      <c r="C32" s="723"/>
      <c r="D32" s="733">
        <f t="shared" si="3"/>
        <v>0</v>
      </c>
      <c r="E32" s="723"/>
      <c r="F32" s="723">
        <v>6</v>
      </c>
      <c r="G32" s="804">
        <f t="shared" si="1"/>
        <v>0</v>
      </c>
      <c r="I32" s="723"/>
      <c r="J32" s="723"/>
      <c r="K32" s="723"/>
      <c r="L32" s="723"/>
      <c r="N32" s="723"/>
      <c r="O32" s="723"/>
      <c r="P32" s="723"/>
      <c r="Q32" s="723"/>
      <c r="T32" s="724">
        <f t="shared" si="2"/>
        <v>42186</v>
      </c>
      <c r="U32" s="723">
        <f t="shared" si="0"/>
        <v>0</v>
      </c>
      <c r="V32" s="833">
        <v>278.72974823283761</v>
      </c>
    </row>
    <row r="33" spans="2:22" ht="15.75" customHeight="1">
      <c r="B33" s="724">
        <v>42217</v>
      </c>
      <c r="C33" s="723"/>
      <c r="D33" s="733">
        <f t="shared" si="3"/>
        <v>0</v>
      </c>
      <c r="E33" s="723"/>
      <c r="F33" s="723">
        <v>5</v>
      </c>
      <c r="G33" s="804">
        <f t="shared" si="1"/>
        <v>0</v>
      </c>
      <c r="I33" s="723"/>
      <c r="J33" s="723"/>
      <c r="K33" s="723"/>
      <c r="L33" s="723"/>
      <c r="N33" s="723"/>
      <c r="O33" s="723"/>
      <c r="P33" s="723"/>
      <c r="Q33" s="723"/>
      <c r="T33" s="724">
        <f t="shared" si="2"/>
        <v>42217</v>
      </c>
      <c r="U33" s="723">
        <f t="shared" si="0"/>
        <v>0</v>
      </c>
      <c r="V33" s="833">
        <v>314.85348450251263</v>
      </c>
    </row>
    <row r="34" spans="2:22" ht="15.75" customHeight="1">
      <c r="B34" s="724">
        <v>42248</v>
      </c>
      <c r="C34" s="723">
        <f>'Streetlight Details'!C110</f>
        <v>654.37599999999998</v>
      </c>
      <c r="D34" s="733"/>
      <c r="E34" s="797">
        <v>0.85199999999999998</v>
      </c>
      <c r="F34" s="723">
        <v>4</v>
      </c>
      <c r="G34" s="804">
        <f t="shared" si="1"/>
        <v>0</v>
      </c>
      <c r="I34" s="723"/>
      <c r="J34" s="723"/>
      <c r="K34" s="723"/>
      <c r="L34" s="723"/>
      <c r="N34" s="723"/>
      <c r="O34" s="723"/>
      <c r="P34" s="723"/>
      <c r="Q34" s="723"/>
      <c r="T34" s="724">
        <f t="shared" si="2"/>
        <v>42248</v>
      </c>
      <c r="U34" s="723">
        <f t="shared" si="0"/>
        <v>0</v>
      </c>
      <c r="V34" s="833">
        <v>344.56557016802452</v>
      </c>
    </row>
    <row r="35" spans="2:38" ht="15.75" customHeight="1">
      <c r="B35" s="724">
        <v>42278</v>
      </c>
      <c r="C35" s="723">
        <f>'Streetlight Details'!C108</f>
        <v>650.34400000000005</v>
      </c>
      <c r="D35" s="733">
        <f>C35-C34</f>
        <v>-4.0319999999999254</v>
      </c>
      <c r="E35" s="797">
        <v>0.85199999999999998</v>
      </c>
      <c r="F35" s="723">
        <v>3</v>
      </c>
      <c r="G35" s="804">
        <f>D35*E35*F35</f>
        <v>-10.30579199999981</v>
      </c>
      <c r="I35" s="723"/>
      <c r="J35" s="723"/>
      <c r="K35" s="723"/>
      <c r="L35" s="723"/>
      <c r="N35" s="723"/>
      <c r="O35" s="723"/>
      <c r="P35" s="723"/>
      <c r="Q35" s="723"/>
      <c r="T35" s="724">
        <f t="shared" si="2"/>
        <v>42278</v>
      </c>
      <c r="U35" s="834">
        <f>G35*V35-D35*V35*E35/2</f>
        <v>-3485.8526727637204</v>
      </c>
      <c r="V35" s="833">
        <v>405.89051354001145</v>
      </c>
      <c r="AA35" s="840"/>
      <c r="AB35" s="840"/>
      <c r="AC35" s="840"/>
      <c r="AD35" s="840"/>
      <c r="AE35" s="840"/>
      <c r="AF35" s="840"/>
      <c r="AG35" s="840"/>
      <c r="AH35" s="840"/>
      <c r="AI35" s="840"/>
      <c r="AJ35" s="840"/>
      <c r="AK35" s="840"/>
      <c r="AL35" s="840"/>
    </row>
    <row r="36" spans="2:38" ht="15.75" customHeight="1">
      <c r="B36" s="724">
        <v>42309</v>
      </c>
      <c r="C36" s="723">
        <f>'Streetlight Details'!C106</f>
        <v>623.44900000000007</v>
      </c>
      <c r="D36" s="733">
        <f t="shared" si="3"/>
        <v>-26.894999999999982</v>
      </c>
      <c r="E36" s="797">
        <v>0.85199999999999998</v>
      </c>
      <c r="F36" s="723">
        <v>2</v>
      </c>
      <c r="G36" s="804">
        <f t="shared" si="1"/>
        <v>-45.829079999999969</v>
      </c>
      <c r="I36" s="723"/>
      <c r="J36" s="723"/>
      <c r="K36" s="723"/>
      <c r="L36" s="723"/>
      <c r="N36" s="723"/>
      <c r="O36" s="723"/>
      <c r="P36" s="723"/>
      <c r="Q36" s="723"/>
      <c r="T36" s="724">
        <f t="shared" si="2"/>
        <v>42309</v>
      </c>
      <c r="U36" s="834">
        <f t="shared" si="4" ref="U36:U37">G36*V36-D36*V36*E36/2</f>
        <v>-14717.149369088871</v>
      </c>
      <c r="V36" s="833">
        <v>428.17498901247507</v>
      </c>
      <c r="AA36" s="840"/>
      <c r="AB36" s="840"/>
      <c r="AC36" s="840"/>
      <c r="AD36" s="840"/>
      <c r="AE36" s="840"/>
      <c r="AF36" s="840"/>
      <c r="AG36" s="840"/>
      <c r="AH36" s="840"/>
      <c r="AI36" s="840"/>
      <c r="AJ36" s="840"/>
      <c r="AK36" s="840"/>
      <c r="AL36" s="840"/>
    </row>
    <row r="37" spans="2:38" ht="15.75" customHeight="1">
      <c r="B37" s="724">
        <v>42339</v>
      </c>
      <c r="C37" s="723">
        <f>'Streetlight Details'!C104</f>
        <v>617.23299999999995</v>
      </c>
      <c r="D37" s="733">
        <f t="shared" si="3"/>
        <v>-6.2160000000001219</v>
      </c>
      <c r="E37" s="797">
        <v>0.85199999999999998</v>
      </c>
      <c r="F37" s="723">
        <v>1</v>
      </c>
      <c r="G37" s="804">
        <f>D37*E37*F37</f>
        <v>-5.2960320000001033</v>
      </c>
      <c r="I37" s="723"/>
      <c r="J37" s="723"/>
      <c r="K37" s="723"/>
      <c r="L37" s="723"/>
      <c r="N37" s="723"/>
      <c r="O37" s="723"/>
      <c r="P37" s="723"/>
      <c r="Q37" s="723"/>
      <c r="T37" s="724">
        <f t="shared" si="2"/>
        <v>42339</v>
      </c>
      <c r="U37" s="834">
        <f t="shared" si="4"/>
        <v>-1236.4562390956801</v>
      </c>
      <c r="V37" s="833">
        <v>466.93684596152588</v>
      </c>
      <c r="AA37" s="840"/>
      <c r="AB37" s="840"/>
      <c r="AC37" s="840"/>
      <c r="AD37" s="840"/>
      <c r="AE37" s="840"/>
      <c r="AF37" s="840"/>
      <c r="AG37" s="840"/>
      <c r="AH37" s="840"/>
      <c r="AI37" s="840"/>
      <c r="AJ37" s="840"/>
      <c r="AK37" s="840"/>
      <c r="AL37" s="840"/>
    </row>
    <row r="38" spans="2:22" ht="16.4" customHeight="1">
      <c r="B38" s="734" t="s">
        <v>26</v>
      </c>
      <c r="C38" s="735"/>
      <c r="D38" s="735"/>
      <c r="E38" s="735"/>
      <c r="F38" s="735"/>
      <c r="G38" s="805">
        <f>SUM(G26:G37)</f>
        <v>-61.430903999999884</v>
      </c>
      <c r="I38" s="723"/>
      <c r="J38" s="723"/>
      <c r="K38" s="723"/>
      <c r="L38" s="723"/>
      <c r="N38" s="723"/>
      <c r="O38" s="723"/>
      <c r="P38" s="723"/>
      <c r="Q38" s="723"/>
      <c r="T38" s="734" t="s">
        <v>26</v>
      </c>
      <c r="U38" s="835">
        <f>SUM(U26:U37)</f>
        <v>-19439.458280948274</v>
      </c>
      <c r="V38" s="836">
        <f>SUM(V26:V37)</f>
        <v>4315.9412193109156</v>
      </c>
    </row>
    <row r="39" spans="2:22" ht="14.5">
      <c r="B39" s="724" t="s">
        <v>797</v>
      </c>
      <c r="C39" s="723"/>
      <c r="D39" s="723"/>
      <c r="E39" s="723"/>
      <c r="F39" s="723"/>
      <c r="G39" s="804">
        <f>SUM(D26:D37)*-12*$E$37</f>
        <v>379.75003200000026</v>
      </c>
      <c r="I39" s="723"/>
      <c r="J39" s="723"/>
      <c r="K39" s="723"/>
      <c r="L39" s="723"/>
      <c r="N39" s="723"/>
      <c r="O39" s="723"/>
      <c r="P39" s="723"/>
      <c r="Q39" s="723"/>
      <c r="T39" s="724" t="str">
        <f>B39</f>
        <v>Persistence in 2016</v>
      </c>
      <c r="U39" s="834">
        <f>G39*V38/12</f>
        <v>136581.56801195335</v>
      </c>
      <c r="V39" s="723"/>
    </row>
    <row r="40" spans="2:39" ht="14.5">
      <c r="B40" s="724" t="s">
        <v>798</v>
      </c>
      <c r="C40" s="723"/>
      <c r="D40" s="723"/>
      <c r="E40" s="723"/>
      <c r="F40" s="723"/>
      <c r="G40" s="804">
        <f>G39</f>
        <v>379.75003200000026</v>
      </c>
      <c r="I40" s="723"/>
      <c r="J40" s="723"/>
      <c r="K40" s="723"/>
      <c r="L40" s="723"/>
      <c r="N40" s="723"/>
      <c r="O40" s="723"/>
      <c r="P40" s="723"/>
      <c r="Q40" s="723"/>
      <c r="T40" s="724" t="str">
        <f t="shared" si="5" ref="T40:T43">B40</f>
        <v>Persistence in 2017</v>
      </c>
      <c r="U40" s="834">
        <f>G40*V38/12</f>
        <v>136581.56801195335</v>
      </c>
      <c r="V40" s="723"/>
      <c r="AG40" s="832"/>
      <c r="AH40" s="832"/>
      <c r="AI40" s="832"/>
      <c r="AJ40" s="832"/>
      <c r="AK40" s="832"/>
      <c r="AL40" s="832"/>
      <c r="AM40" s="844"/>
    </row>
    <row r="41" spans="2:38" ht="14.5">
      <c r="B41" s="724" t="s">
        <v>799</v>
      </c>
      <c r="C41" s="723"/>
      <c r="D41" s="723"/>
      <c r="E41" s="723"/>
      <c r="F41" s="723"/>
      <c r="G41" s="804">
        <f>G40</f>
        <v>379.75003200000026</v>
      </c>
      <c r="I41" s="723"/>
      <c r="J41" s="723"/>
      <c r="K41" s="723"/>
      <c r="L41" s="723"/>
      <c r="N41" s="723"/>
      <c r="O41" s="723"/>
      <c r="P41" s="723"/>
      <c r="Q41" s="723"/>
      <c r="T41" s="724" t="str">
        <f t="shared" si="5"/>
        <v>Persistence in 2018</v>
      </c>
      <c r="U41" s="834">
        <f>G41*V38/12</f>
        <v>136581.56801195335</v>
      </c>
      <c r="V41" s="723"/>
      <c r="AF41" s="832"/>
      <c r="AG41" s="832"/>
      <c r="AH41" s="832"/>
      <c r="AI41" s="832"/>
      <c r="AJ41" s="832"/>
      <c r="AK41" s="832"/>
      <c r="AL41" s="832"/>
    </row>
    <row r="42" spans="2:22" ht="14.5">
      <c r="B42" s="724" t="s">
        <v>800</v>
      </c>
      <c r="C42" s="723"/>
      <c r="D42" s="723"/>
      <c r="E42" s="723"/>
      <c r="F42" s="723"/>
      <c r="G42" s="804">
        <f>G41</f>
        <v>379.75003200000026</v>
      </c>
      <c r="I42" s="723"/>
      <c r="J42" s="723"/>
      <c r="K42" s="723"/>
      <c r="L42" s="723"/>
      <c r="N42" s="723"/>
      <c r="O42" s="723"/>
      <c r="P42" s="723"/>
      <c r="Q42" s="723"/>
      <c r="T42" s="724" t="str">
        <f t="shared" si="5"/>
        <v>Persistence in 2019</v>
      </c>
      <c r="U42" s="834">
        <f>G42*V38/12</f>
        <v>136581.56801195335</v>
      </c>
      <c r="V42" s="723"/>
    </row>
    <row r="43" spans="2:22" ht="14.5">
      <c r="B43" s="724" t="s">
        <v>801</v>
      </c>
      <c r="C43" s="723"/>
      <c r="D43" s="723"/>
      <c r="E43" s="723"/>
      <c r="F43" s="723"/>
      <c r="G43" s="804">
        <f>G42</f>
        <v>379.75003200000026</v>
      </c>
      <c r="I43" s="723"/>
      <c r="J43" s="723"/>
      <c r="K43" s="723"/>
      <c r="L43" s="723"/>
      <c r="N43" s="723"/>
      <c r="O43" s="723"/>
      <c r="P43" s="723"/>
      <c r="Q43" s="723"/>
      <c r="T43" s="724" t="str">
        <f t="shared" si="5"/>
        <v>Persistence in 2020</v>
      </c>
      <c r="U43" s="834">
        <f>G43*V38/12</f>
        <v>136581.56801195335</v>
      </c>
      <c r="V43" s="723"/>
    </row>
    <row r="44" spans="9:22" ht="14.5">
      <c r="I44" s="734" t="s">
        <v>26</v>
      </c>
      <c r="J44" s="735"/>
      <c r="K44" s="731">
        <f>SUM(K26:K43)</f>
        <v>0</v>
      </c>
      <c r="L44" s="731">
        <f>SUM(L26:L43)</f>
        <v>0</v>
      </c>
      <c r="N44" s="734" t="s">
        <v>26</v>
      </c>
      <c r="O44" s="735"/>
      <c r="P44" s="732">
        <f>SUM(P26:P43)</f>
        <v>0</v>
      </c>
      <c r="Q44" s="732">
        <f>SUM(Q26:Q43)</f>
        <v>0</v>
      </c>
      <c r="T44" s="734"/>
      <c r="U44" s="735"/>
      <c r="V44" s="732"/>
    </row>
    <row r="45" spans="29:29" ht="14.5">
      <c r="AC45" s="844"/>
    </row>
    <row r="46" spans="2:9" ht="21">
      <c r="B46" s="725" t="s">
        <v>702</v>
      </c>
      <c r="C46" s="726"/>
      <c r="E46" s="726"/>
      <c r="F46" s="726"/>
      <c r="G46" s="802"/>
      <c r="I46" s="725" t="s">
        <v>703</v>
      </c>
    </row>
    <row r="47" spans="2:14" ht="18.75" customHeight="1">
      <c r="B47" s="916" t="s">
        <v>680</v>
      </c>
      <c r="C47" s="916"/>
      <c r="D47" s="916"/>
      <c r="E47" s="916"/>
      <c r="F47" s="916"/>
      <c r="G47" s="916"/>
      <c r="I47" s="12" t="s">
        <v>688</v>
      </c>
      <c r="N47" s="12" t="s">
        <v>689</v>
      </c>
    </row>
    <row r="48" spans="2:22" ht="43.5">
      <c r="B48" s="722" t="s">
        <v>62</v>
      </c>
      <c r="C48" s="722" t="s">
        <v>681</v>
      </c>
      <c r="D48" s="722" t="s">
        <v>682</v>
      </c>
      <c r="E48" s="722" t="s">
        <v>684</v>
      </c>
      <c r="F48" s="736"/>
      <c r="G48" s="803" t="s">
        <v>683</v>
      </c>
      <c r="I48" s="722" t="s">
        <v>685</v>
      </c>
      <c r="J48" s="722" t="s">
        <v>686</v>
      </c>
      <c r="K48" s="722" t="s">
        <v>687</v>
      </c>
      <c r="L48" s="722" t="s">
        <v>681</v>
      </c>
      <c r="N48" s="722" t="s">
        <v>685</v>
      </c>
      <c r="O48" s="722" t="s">
        <v>686</v>
      </c>
      <c r="P48" s="722" t="s">
        <v>687</v>
      </c>
      <c r="Q48" s="722" t="s">
        <v>681</v>
      </c>
      <c r="T48" s="826"/>
      <c r="U48" s="826" t="s">
        <v>844</v>
      </c>
      <c r="V48" s="826" t="s">
        <v>839</v>
      </c>
    </row>
    <row r="49" spans="2:22" ht="16.5">
      <c r="B49" s="729"/>
      <c r="C49" s="729" t="s">
        <v>691</v>
      </c>
      <c r="D49" s="729" t="s">
        <v>692</v>
      </c>
      <c r="E49" s="729" t="s">
        <v>693</v>
      </c>
      <c r="F49" s="736"/>
      <c r="G49" s="803" t="s">
        <v>694</v>
      </c>
      <c r="I49" s="729"/>
      <c r="J49" s="729" t="s">
        <v>695</v>
      </c>
      <c r="K49" s="729" t="s">
        <v>696</v>
      </c>
      <c r="L49" s="729" t="s">
        <v>697</v>
      </c>
      <c r="N49" s="729"/>
      <c r="O49" s="729" t="s">
        <v>698</v>
      </c>
      <c r="P49" s="729" t="s">
        <v>699</v>
      </c>
      <c r="Q49" s="729" t="s">
        <v>700</v>
      </c>
      <c r="T49" s="826" t="s">
        <v>840</v>
      </c>
      <c r="U49" s="826" t="s">
        <v>843</v>
      </c>
      <c r="V49" s="826" t="s">
        <v>841</v>
      </c>
    </row>
    <row r="50" spans="2:22" ht="15.75" customHeight="1">
      <c r="B50" s="724">
        <v>42370</v>
      </c>
      <c r="C50" s="723">
        <f>'Streetlight Details'!C102</f>
        <v>584.83299999999997</v>
      </c>
      <c r="D50" s="796">
        <f>C50-C37</f>
        <v>-32.399999999999977</v>
      </c>
      <c r="E50" s="797">
        <v>0.85199999999999998</v>
      </c>
      <c r="F50" s="723">
        <v>12</v>
      </c>
      <c r="G50" s="804">
        <f>D50*E50*F50</f>
        <v>-331.25759999999974</v>
      </c>
      <c r="I50" s="723"/>
      <c r="J50" s="723"/>
      <c r="K50" s="723"/>
      <c r="L50" s="723">
        <f>J50*K50</f>
        <v>0</v>
      </c>
      <c r="N50" s="723"/>
      <c r="O50" s="723"/>
      <c r="P50" s="723"/>
      <c r="Q50" s="723">
        <f>O50*P50</f>
        <v>0</v>
      </c>
      <c r="T50" s="724">
        <f>B50</f>
        <v>42370</v>
      </c>
      <c r="U50" s="834">
        <f>G50*V50-D50*V50*E50/2</f>
        <v>-143292.91196180348</v>
      </c>
      <c r="V50" s="833">
        <v>451.37994892445795</v>
      </c>
    </row>
    <row r="51" spans="2:22" ht="15.75" customHeight="1">
      <c r="B51" s="724">
        <v>42401</v>
      </c>
      <c r="C51" s="723">
        <f>'Streetlight Details'!C100</f>
        <v>546.34899999999993</v>
      </c>
      <c r="D51" s="733">
        <f>C51-C50</f>
        <v>-38.484000000000037</v>
      </c>
      <c r="E51" s="797">
        <v>0.85199999999999998</v>
      </c>
      <c r="F51" s="723">
        <v>11</v>
      </c>
      <c r="G51" s="804">
        <f t="shared" si="6" ref="G51:G61">D51*E51*F51</f>
        <v>-360.67204800000036</v>
      </c>
      <c r="I51" s="723"/>
      <c r="J51" s="723"/>
      <c r="K51" s="723"/>
      <c r="L51" s="723"/>
      <c r="N51" s="723"/>
      <c r="O51" s="723"/>
      <c r="P51" s="723"/>
      <c r="Q51" s="723"/>
      <c r="T51" s="724">
        <f t="shared" si="7" ref="T51:T61">B51</f>
        <v>42401</v>
      </c>
      <c r="U51" s="834">
        <f t="shared" si="8" ref="U51:U61">G51*V51-D51*V51*E51/2</f>
        <v>-133930.58529993118</v>
      </c>
      <c r="V51" s="833">
        <v>389.01886907236951</v>
      </c>
    </row>
    <row r="52" spans="2:22" ht="15.75" customHeight="1">
      <c r="B52" s="724">
        <v>42430</v>
      </c>
      <c r="C52" s="723">
        <f>'Streetlight Details'!C98</f>
        <v>529.78499999999997</v>
      </c>
      <c r="D52" s="733">
        <f t="shared" si="9" ref="D52:D61">C52-C51</f>
        <v>-16.563999999999965</v>
      </c>
      <c r="E52" s="797">
        <v>0.85199999999999998</v>
      </c>
      <c r="F52" s="723">
        <v>10</v>
      </c>
      <c r="G52" s="804">
        <f>D52*E52*F52</f>
        <v>-141.12527999999969</v>
      </c>
      <c r="I52" s="723"/>
      <c r="J52" s="723"/>
      <c r="K52" s="723"/>
      <c r="L52" s="723"/>
      <c r="N52" s="723"/>
      <c r="O52" s="723"/>
      <c r="P52" s="723"/>
      <c r="Q52" s="723"/>
      <c r="T52" s="724">
        <f t="shared" si="7"/>
        <v>42430</v>
      </c>
      <c r="U52" s="834">
        <f t="shared" si="8"/>
        <v>-49912.23855983156</v>
      </c>
      <c r="V52" s="833">
        <v>372.2876474295274</v>
      </c>
    </row>
    <row r="53" spans="2:22" ht="15.75" customHeight="1">
      <c r="B53" s="724">
        <v>42461</v>
      </c>
      <c r="C53" s="723">
        <f>'Streetlight Details'!C96</f>
        <v>498.66699999999997</v>
      </c>
      <c r="D53" s="733">
        <f t="shared" si="9"/>
        <v>-31.117999999999995</v>
      </c>
      <c r="E53" s="797">
        <v>0.85199999999999998</v>
      </c>
      <c r="F53" s="723">
        <v>9</v>
      </c>
      <c r="G53" s="804">
        <f t="shared" si="6"/>
        <v>-238.61282399999993</v>
      </c>
      <c r="I53" s="723"/>
      <c r="J53" s="723"/>
      <c r="K53" s="723"/>
      <c r="L53" s="723"/>
      <c r="N53" s="723"/>
      <c r="O53" s="723"/>
      <c r="P53" s="723"/>
      <c r="Q53" s="723"/>
      <c r="T53" s="724">
        <f t="shared" si="7"/>
        <v>42461</v>
      </c>
      <c r="U53" s="834">
        <f t="shared" si="8"/>
        <v>-71352.11605375637</v>
      </c>
      <c r="V53" s="833">
        <v>316.61877213705907</v>
      </c>
    </row>
    <row r="54" spans="2:22" ht="15.75" customHeight="1">
      <c r="B54" s="724">
        <v>42491</v>
      </c>
      <c r="C54" s="723">
        <f>'Streetlight Details'!C94</f>
        <v>476.95500000000004</v>
      </c>
      <c r="D54" s="733">
        <f t="shared" si="9"/>
        <v>-21.711999999999932</v>
      </c>
      <c r="E54" s="797">
        <v>0.85199999999999998</v>
      </c>
      <c r="F54" s="723">
        <v>8</v>
      </c>
      <c r="G54" s="804">
        <f t="shared" si="6"/>
        <v>-147.98899199999954</v>
      </c>
      <c r="I54" s="723"/>
      <c r="J54" s="723"/>
      <c r="K54" s="723"/>
      <c r="L54" s="723"/>
      <c r="N54" s="723"/>
      <c r="O54" s="723"/>
      <c r="P54" s="723"/>
      <c r="Q54" s="723"/>
      <c r="T54" s="724">
        <f t="shared" si="7"/>
        <v>42491</v>
      </c>
      <c r="U54" s="834">
        <f t="shared" si="8"/>
        <v>-39903.939174499072</v>
      </c>
      <c r="V54" s="833">
        <v>287.61735052653427</v>
      </c>
    </row>
    <row r="55" spans="2:22" ht="15.75" customHeight="1">
      <c r="B55" s="724">
        <v>42522</v>
      </c>
      <c r="C55" s="723">
        <f>'Streetlight Details'!C92</f>
        <v>440.06</v>
      </c>
      <c r="D55" s="733">
        <f t="shared" si="9"/>
        <v>-36.895000000000039</v>
      </c>
      <c r="E55" s="797">
        <v>0.85199999999999998</v>
      </c>
      <c r="F55" s="723">
        <v>7</v>
      </c>
      <c r="G55" s="804">
        <f t="shared" si="6"/>
        <v>-220.04178000000024</v>
      </c>
      <c r="I55" s="723"/>
      <c r="J55" s="723"/>
      <c r="K55" s="723"/>
      <c r="L55" s="723"/>
      <c r="N55" s="723"/>
      <c r="O55" s="723"/>
      <c r="P55" s="723"/>
      <c r="Q55" s="723"/>
      <c r="T55" s="724">
        <f t="shared" si="7"/>
        <v>42522</v>
      </c>
      <c r="U55" s="834">
        <f t="shared" si="8"/>
        <v>-53097.295475801395</v>
      </c>
      <c r="V55" s="833">
        <v>259.86747980357978</v>
      </c>
    </row>
    <row r="56" spans="2:22" ht="15.75" customHeight="1">
      <c r="B56" s="724">
        <v>42552</v>
      </c>
      <c r="C56" s="723">
        <f>'Streetlight Details'!C90</f>
        <v>409.86400000000003</v>
      </c>
      <c r="D56" s="733">
        <f t="shared" si="9"/>
        <v>-30.19599999999997</v>
      </c>
      <c r="E56" s="797">
        <v>0.85199999999999998</v>
      </c>
      <c r="F56" s="723">
        <v>6</v>
      </c>
      <c r="G56" s="804">
        <f t="shared" si="6"/>
        <v>-154.36195199999986</v>
      </c>
      <c r="I56" s="723"/>
      <c r="J56" s="723"/>
      <c r="K56" s="723"/>
      <c r="L56" s="723"/>
      <c r="N56" s="723"/>
      <c r="O56" s="723"/>
      <c r="P56" s="723"/>
      <c r="Q56" s="723"/>
      <c r="T56" s="724">
        <f t="shared" si="7"/>
        <v>42552</v>
      </c>
      <c r="U56" s="834">
        <f t="shared" si="8"/>
        <v>-39439.829016215219</v>
      </c>
      <c r="V56" s="833">
        <v>278.72974823283761</v>
      </c>
    </row>
    <row r="57" spans="2:22" ht="15.75" customHeight="1">
      <c r="B57" s="724">
        <v>42583</v>
      </c>
      <c r="C57" s="723">
        <f>'Streetlight Details'!C88</f>
        <v>338.118</v>
      </c>
      <c r="D57" s="733">
        <f t="shared" si="9"/>
        <v>-71.746000000000038</v>
      </c>
      <c r="E57" s="797">
        <v>0.85199999999999998</v>
      </c>
      <c r="F57" s="723">
        <v>5</v>
      </c>
      <c r="G57" s="804">
        <f t="shared" si="6"/>
        <v>-305.63796000000013</v>
      </c>
      <c r="I57" s="723"/>
      <c r="J57" s="723"/>
      <c r="K57" s="723"/>
      <c r="L57" s="723"/>
      <c r="N57" s="723"/>
      <c r="O57" s="723"/>
      <c r="P57" s="723"/>
      <c r="Q57" s="723"/>
      <c r="T57" s="724">
        <f t="shared" si="7"/>
        <v>42583</v>
      </c>
      <c r="U57" s="834">
        <f t="shared" si="8"/>
        <v>-86608.059032015663</v>
      </c>
      <c r="V57" s="833">
        <v>314.85348450251263</v>
      </c>
    </row>
    <row r="58" spans="2:22" ht="15.75" customHeight="1">
      <c r="B58" s="724">
        <v>42614</v>
      </c>
      <c r="C58" s="723">
        <f>'Streetlight Details'!C86</f>
        <v>331.29199999999997</v>
      </c>
      <c r="D58" s="733">
        <f t="shared" si="9"/>
        <v>-6.8260000000000218</v>
      </c>
      <c r="E58" s="797">
        <v>0.85199999999999998</v>
      </c>
      <c r="F58" s="723">
        <v>4</v>
      </c>
      <c r="G58" s="804">
        <f t="shared" si="6"/>
        <v>-23.263008000000074</v>
      </c>
      <c r="I58" s="723"/>
      <c r="J58" s="723"/>
      <c r="K58" s="723"/>
      <c r="L58" s="723"/>
      <c r="N58" s="723"/>
      <c r="O58" s="723"/>
      <c r="P58" s="723"/>
      <c r="Q58" s="723"/>
      <c r="T58" s="724">
        <f t="shared" si="7"/>
        <v>42614</v>
      </c>
      <c r="U58" s="834">
        <f t="shared" si="8"/>
        <v>-7013.6776634254229</v>
      </c>
      <c r="V58" s="833">
        <v>344.56557016802452</v>
      </c>
    </row>
    <row r="59" spans="2:22" ht="15.75" customHeight="1">
      <c r="B59" s="724">
        <v>42644</v>
      </c>
      <c r="C59" s="723">
        <f>'Streetlight Details'!C84</f>
        <v>297.23399999999998</v>
      </c>
      <c r="D59" s="733">
        <f>C59-C58</f>
        <v>-34.057999999999993</v>
      </c>
      <c r="E59" s="797">
        <v>0.85199999999999998</v>
      </c>
      <c r="F59" s="723">
        <v>3</v>
      </c>
      <c r="G59" s="804">
        <f t="shared" si="6"/>
        <v>-87.052247999999977</v>
      </c>
      <c r="I59" s="723"/>
      <c r="J59" s="723"/>
      <c r="K59" s="723"/>
      <c r="L59" s="723"/>
      <c r="N59" s="723"/>
      <c r="O59" s="723"/>
      <c r="P59" s="723"/>
      <c r="Q59" s="723"/>
      <c r="T59" s="724">
        <f t="shared" si="7"/>
        <v>42644</v>
      </c>
      <c r="U59" s="834">
        <f t="shared" si="8"/>
        <v>-29444.734704610353</v>
      </c>
      <c r="V59" s="833">
        <v>405.89051354001145</v>
      </c>
    </row>
    <row r="60" spans="2:22" ht="15.75" customHeight="1">
      <c r="B60" s="724">
        <v>42675</v>
      </c>
      <c r="C60" s="723">
        <f>'Streetlight Details'!C82</f>
        <v>270.84000000000003</v>
      </c>
      <c r="D60" s="733">
        <f t="shared" si="9"/>
        <v>-26.393999999999949</v>
      </c>
      <c r="E60" s="797">
        <v>0.85199999999999998</v>
      </c>
      <c r="F60" s="723">
        <v>2</v>
      </c>
      <c r="G60" s="804">
        <f t="shared" si="6"/>
        <v>-44.975375999999912</v>
      </c>
      <c r="I60" s="723"/>
      <c r="J60" s="723"/>
      <c r="K60" s="723"/>
      <c r="L60" s="723"/>
      <c r="N60" s="723"/>
      <c r="O60" s="723"/>
      <c r="P60" s="723"/>
      <c r="Q60" s="723"/>
      <c r="T60" s="724">
        <f t="shared" si="7"/>
        <v>42675</v>
      </c>
      <c r="U60" s="834">
        <f t="shared" si="8"/>
        <v>-14442.998343473922</v>
      </c>
      <c r="V60" s="833">
        <v>428.17498901247507</v>
      </c>
    </row>
    <row r="61" spans="2:22" ht="15.75" customHeight="1">
      <c r="B61" s="724">
        <v>42705</v>
      </c>
      <c r="C61" s="723">
        <f>'Streetlight Details'!C80</f>
        <v>267.67099999999999</v>
      </c>
      <c r="D61" s="733">
        <f t="shared" si="9"/>
        <v>-3.1690000000000396</v>
      </c>
      <c r="E61" s="797">
        <v>0.85199999999999998</v>
      </c>
      <c r="F61" s="723">
        <v>1</v>
      </c>
      <c r="G61" s="804">
        <f t="shared" si="6"/>
        <v>-2.6999880000000336</v>
      </c>
      <c r="I61" s="723"/>
      <c r="J61" s="723"/>
      <c r="K61" s="723"/>
      <c r="L61" s="723"/>
      <c r="N61" s="723"/>
      <c r="O61" s="723"/>
      <c r="P61" s="723"/>
      <c r="Q61" s="723"/>
      <c r="T61" s="724">
        <f t="shared" si="7"/>
        <v>42705</v>
      </c>
      <c r="U61" s="834">
        <f t="shared" si="8"/>
        <v>-630.36194042699185</v>
      </c>
      <c r="V61" s="833">
        <v>466.93684596152588</v>
      </c>
    </row>
    <row r="62" spans="2:22" ht="16.4" customHeight="1">
      <c r="B62" s="734" t="s">
        <v>26</v>
      </c>
      <c r="C62" s="735"/>
      <c r="D62" s="735"/>
      <c r="E62" s="735"/>
      <c r="F62" s="735"/>
      <c r="G62" s="805">
        <f>SUM(G50:G61)</f>
        <v>-2057.6890559999997</v>
      </c>
      <c r="I62" s="723"/>
      <c r="J62" s="723"/>
      <c r="K62" s="723"/>
      <c r="L62" s="723"/>
      <c r="N62" s="723"/>
      <c r="O62" s="723"/>
      <c r="P62" s="723"/>
      <c r="Q62" s="723"/>
      <c r="T62" s="734" t="s">
        <v>26</v>
      </c>
      <c r="U62" s="835">
        <f>SUM(U50:U61)</f>
        <v>-669068.74722579052</v>
      </c>
      <c r="V62" s="836">
        <f>SUM(V50:V61)</f>
        <v>4315.9412193109156</v>
      </c>
    </row>
    <row r="63" spans="2:22" ht="14.5">
      <c r="B63" s="724" t="s">
        <v>798</v>
      </c>
      <c r="C63" s="723"/>
      <c r="D63" s="723"/>
      <c r="E63" s="723"/>
      <c r="F63" s="723"/>
      <c r="G63" s="804">
        <f>SUM(D50:D61)*-12*E61</f>
        <v>3573.9218879999999</v>
      </c>
      <c r="I63" s="723"/>
      <c r="J63" s="723"/>
      <c r="K63" s="723"/>
      <c r="L63" s="723"/>
      <c r="N63" s="723"/>
      <c r="O63" s="723"/>
      <c r="P63" s="723"/>
      <c r="Q63" s="723"/>
      <c r="T63" s="724" t="str">
        <f>B63</f>
        <v>Persistence in 2017</v>
      </c>
      <c r="U63" s="834">
        <f>G63*V62/12</f>
        <v>1285403.0659180575</v>
      </c>
      <c r="V63" s="723"/>
    </row>
    <row r="64" spans="2:22" ht="14.5">
      <c r="B64" s="724" t="s">
        <v>799</v>
      </c>
      <c r="C64" s="723"/>
      <c r="D64" s="723"/>
      <c r="E64" s="723"/>
      <c r="F64" s="723"/>
      <c r="G64" s="804">
        <f>G63</f>
        <v>3573.9218879999999</v>
      </c>
      <c r="I64" s="723"/>
      <c r="J64" s="723"/>
      <c r="K64" s="723"/>
      <c r="L64" s="723"/>
      <c r="N64" s="723"/>
      <c r="O64" s="723"/>
      <c r="P64" s="723"/>
      <c r="Q64" s="723"/>
      <c r="T64" s="724" t="str">
        <f t="shared" si="10" ref="T64:T66">B64</f>
        <v>Persistence in 2018</v>
      </c>
      <c r="U64" s="834">
        <f>G64*V62/12</f>
        <v>1285403.0659180575</v>
      </c>
      <c r="V64" s="723"/>
    </row>
    <row r="65" spans="2:22" ht="14.5">
      <c r="B65" s="724" t="s">
        <v>800</v>
      </c>
      <c r="C65" s="723"/>
      <c r="D65" s="723"/>
      <c r="E65" s="723"/>
      <c r="F65" s="723"/>
      <c r="G65" s="804">
        <f>G64</f>
        <v>3573.9218879999999</v>
      </c>
      <c r="I65" s="723"/>
      <c r="J65" s="723"/>
      <c r="K65" s="723"/>
      <c r="L65" s="723"/>
      <c r="N65" s="723"/>
      <c r="O65" s="723"/>
      <c r="P65" s="723"/>
      <c r="Q65" s="723"/>
      <c r="T65" s="724" t="str">
        <f t="shared" si="10"/>
        <v>Persistence in 2019</v>
      </c>
      <c r="U65" s="834">
        <f>G65*V62/12</f>
        <v>1285403.0659180575</v>
      </c>
      <c r="V65" s="723"/>
    </row>
    <row r="66" spans="2:22" ht="14.5">
      <c r="B66" s="724" t="s">
        <v>801</v>
      </c>
      <c r="C66" s="723"/>
      <c r="D66" s="723"/>
      <c r="E66" s="723"/>
      <c r="F66" s="723"/>
      <c r="G66" s="804">
        <f>G65</f>
        <v>3573.9218879999999</v>
      </c>
      <c r="I66" s="723"/>
      <c r="J66" s="723"/>
      <c r="K66" s="723"/>
      <c r="L66" s="723"/>
      <c r="N66" s="723"/>
      <c r="O66" s="723"/>
      <c r="P66" s="723"/>
      <c r="Q66" s="723"/>
      <c r="T66" s="724" t="str">
        <f t="shared" si="10"/>
        <v>Persistence in 2020</v>
      </c>
      <c r="U66" s="834">
        <f>G66*V62/12</f>
        <v>1285403.0659180575</v>
      </c>
      <c r="V66" s="723"/>
    </row>
    <row r="67" spans="9:17" ht="14.5">
      <c r="I67" s="734" t="s">
        <v>26</v>
      </c>
      <c r="J67" s="735"/>
      <c r="K67" s="735"/>
      <c r="L67" s="731">
        <f>SUM(L50:L66)</f>
        <v>0</v>
      </c>
      <c r="N67" s="734" t="s">
        <v>26</v>
      </c>
      <c r="O67" s="735"/>
      <c r="P67" s="735"/>
      <c r="Q67" s="732">
        <f>SUM(Q50:Q66)</f>
        <v>0</v>
      </c>
    </row>
    <row r="70" spans="2:9" ht="21">
      <c r="B70" s="725" t="s">
        <v>702</v>
      </c>
      <c r="C70" s="726"/>
      <c r="E70" s="726"/>
      <c r="F70" s="726"/>
      <c r="G70" s="802"/>
      <c r="I70" s="725" t="s">
        <v>703</v>
      </c>
    </row>
    <row r="71" spans="2:14" ht="14.5">
      <c r="B71" s="916" t="s">
        <v>680</v>
      </c>
      <c r="C71" s="916"/>
      <c r="D71" s="916"/>
      <c r="E71" s="916"/>
      <c r="F71" s="916"/>
      <c r="G71" s="916"/>
      <c r="I71" s="12" t="s">
        <v>688</v>
      </c>
      <c r="N71" s="12" t="s">
        <v>689</v>
      </c>
    </row>
    <row r="72" spans="2:22" ht="43.5">
      <c r="B72" s="736" t="s">
        <v>62</v>
      </c>
      <c r="C72" s="736" t="s">
        <v>681</v>
      </c>
      <c r="D72" s="736" t="s">
        <v>682</v>
      </c>
      <c r="E72" s="736" t="s">
        <v>684</v>
      </c>
      <c r="F72" s="736"/>
      <c r="G72" s="803" t="s">
        <v>683</v>
      </c>
      <c r="I72" s="736" t="s">
        <v>685</v>
      </c>
      <c r="J72" s="736" t="s">
        <v>686</v>
      </c>
      <c r="K72" s="736" t="s">
        <v>687</v>
      </c>
      <c r="L72" s="736" t="s">
        <v>681</v>
      </c>
      <c r="N72" s="736" t="s">
        <v>685</v>
      </c>
      <c r="O72" s="736" t="s">
        <v>686</v>
      </c>
      <c r="P72" s="736" t="s">
        <v>687</v>
      </c>
      <c r="Q72" s="736" t="s">
        <v>681</v>
      </c>
      <c r="T72" s="826"/>
      <c r="U72" s="826" t="s">
        <v>844</v>
      </c>
      <c r="V72" s="826" t="s">
        <v>839</v>
      </c>
    </row>
    <row r="73" spans="2:22" ht="16.5">
      <c r="B73" s="736"/>
      <c r="C73" s="736" t="s">
        <v>691</v>
      </c>
      <c r="D73" s="736" t="s">
        <v>692</v>
      </c>
      <c r="E73" s="736" t="s">
        <v>693</v>
      </c>
      <c r="F73" s="736"/>
      <c r="G73" s="803" t="s">
        <v>694</v>
      </c>
      <c r="I73" s="736"/>
      <c r="J73" s="736" t="s">
        <v>695</v>
      </c>
      <c r="K73" s="736" t="s">
        <v>696</v>
      </c>
      <c r="L73" s="736" t="s">
        <v>697</v>
      </c>
      <c r="N73" s="736"/>
      <c r="O73" s="736" t="s">
        <v>698</v>
      </c>
      <c r="P73" s="736" t="s">
        <v>699</v>
      </c>
      <c r="Q73" s="736" t="s">
        <v>700</v>
      </c>
      <c r="T73" s="826" t="s">
        <v>840</v>
      </c>
      <c r="U73" s="826" t="s">
        <v>843</v>
      </c>
      <c r="V73" s="826" t="s">
        <v>841</v>
      </c>
    </row>
    <row r="74" spans="2:22" ht="14.5">
      <c r="B74" s="724">
        <v>42736</v>
      </c>
      <c r="C74" s="723">
        <f>'Streetlight Details'!C78</f>
        <v>265.28099999999995</v>
      </c>
      <c r="D74" s="796">
        <f>C74-C61</f>
        <v>-2.3900000000000432</v>
      </c>
      <c r="E74" s="797">
        <v>0.85199999999999998</v>
      </c>
      <c r="F74" s="723">
        <v>12</v>
      </c>
      <c r="G74" s="804">
        <f>D74*E74*F74</f>
        <v>-24.435360000000443</v>
      </c>
      <c r="I74" s="723"/>
      <c r="J74" s="723"/>
      <c r="K74" s="723"/>
      <c r="L74" s="723">
        <f>J74*K74</f>
        <v>0</v>
      </c>
      <c r="N74" s="723"/>
      <c r="O74" s="723"/>
      <c r="P74" s="723"/>
      <c r="Q74" s="723">
        <f>O74*P74</f>
        <v>0</v>
      </c>
      <c r="T74" s="724">
        <f>B74</f>
        <v>42736</v>
      </c>
      <c r="U74" s="834">
        <f>G74*V74-D74*V74*E74/2</f>
        <v>-10570.063567552988</v>
      </c>
      <c r="V74" s="833">
        <v>451.37994892445795</v>
      </c>
    </row>
    <row r="75" spans="2:22" ht="14.5">
      <c r="B75" s="724">
        <v>42767</v>
      </c>
      <c r="C75" s="723">
        <f>'Streetlight Details'!C76</f>
        <v>265.28099999999995</v>
      </c>
      <c r="D75" s="733">
        <f>C75-C74</f>
        <v>0</v>
      </c>
      <c r="E75" s="797">
        <v>0.85199999999999998</v>
      </c>
      <c r="F75" s="723">
        <v>11</v>
      </c>
      <c r="G75" s="804">
        <f t="shared" si="11" ref="G75:G85">D75*E75*F75</f>
        <v>0</v>
      </c>
      <c r="I75" s="723"/>
      <c r="J75" s="723"/>
      <c r="K75" s="723"/>
      <c r="L75" s="723"/>
      <c r="N75" s="723"/>
      <c r="O75" s="723"/>
      <c r="P75" s="723"/>
      <c r="Q75" s="723"/>
      <c r="T75" s="724">
        <f t="shared" si="12" ref="T75:T85">B75</f>
        <v>42767</v>
      </c>
      <c r="U75" s="834">
        <f t="shared" si="13" ref="U75:U85">G75*V75-D75*V75*E75/2</f>
        <v>0</v>
      </c>
      <c r="V75" s="833">
        <v>389.01886907236951</v>
      </c>
    </row>
    <row r="76" spans="2:22" ht="14.5">
      <c r="B76" s="724">
        <v>42795</v>
      </c>
      <c r="C76" s="723">
        <f>'Streetlight Details'!C74</f>
        <v>262.83399999999995</v>
      </c>
      <c r="D76" s="733">
        <f t="shared" si="14" ref="D76:D84">C76-C75</f>
        <v>-2.4470000000000027</v>
      </c>
      <c r="E76" s="797">
        <v>0.85199999999999998</v>
      </c>
      <c r="F76" s="723">
        <v>10</v>
      </c>
      <c r="G76" s="804">
        <f t="shared" si="11"/>
        <v>-20.848440000000021</v>
      </c>
      <c r="I76" s="723"/>
      <c r="J76" s="723"/>
      <c r="K76" s="723"/>
      <c r="L76" s="723"/>
      <c r="N76" s="723"/>
      <c r="O76" s="723"/>
      <c r="P76" s="723"/>
      <c r="Q76" s="723"/>
      <c r="T76" s="724">
        <f t="shared" si="12"/>
        <v>42795</v>
      </c>
      <c r="U76" s="834">
        <f t="shared" si="13"/>
        <v>-7373.5358461668811</v>
      </c>
      <c r="V76" s="833">
        <v>372.2876474295274</v>
      </c>
    </row>
    <row r="77" spans="2:22" ht="14.5">
      <c r="B77" s="724">
        <v>42826</v>
      </c>
      <c r="C77" s="723">
        <f>'Streetlight Details'!C72</f>
        <v>262.83399999999995</v>
      </c>
      <c r="D77" s="733">
        <f t="shared" si="14"/>
        <v>0</v>
      </c>
      <c r="E77" s="797">
        <v>0.85199999999999998</v>
      </c>
      <c r="F77" s="723">
        <v>9</v>
      </c>
      <c r="G77" s="804">
        <f t="shared" si="11"/>
        <v>0</v>
      </c>
      <c r="I77" s="723"/>
      <c r="J77" s="723"/>
      <c r="K77" s="723"/>
      <c r="L77" s="723"/>
      <c r="N77" s="723"/>
      <c r="O77" s="723"/>
      <c r="P77" s="723"/>
      <c r="Q77" s="723"/>
      <c r="T77" s="724">
        <f t="shared" si="12"/>
        <v>42826</v>
      </c>
      <c r="U77" s="834">
        <f t="shared" si="13"/>
        <v>0</v>
      </c>
      <c r="V77" s="833">
        <v>316.61877213705907</v>
      </c>
    </row>
    <row r="78" spans="2:22" ht="14.5">
      <c r="B78" s="724">
        <v>42856</v>
      </c>
      <c r="C78" s="723">
        <f>'Streetlight Details'!C70</f>
        <v>259.95099999999996</v>
      </c>
      <c r="D78" s="733">
        <f t="shared" si="14"/>
        <v>-2.8829999999999814</v>
      </c>
      <c r="E78" s="797">
        <v>0.85199999999999998</v>
      </c>
      <c r="F78" s="723">
        <v>8</v>
      </c>
      <c r="G78" s="804">
        <f t="shared" si="11"/>
        <v>-19.650527999999873</v>
      </c>
      <c r="I78" s="723"/>
      <c r="J78" s="723"/>
      <c r="K78" s="723"/>
      <c r="L78" s="723"/>
      <c r="N78" s="723"/>
      <c r="O78" s="723"/>
      <c r="P78" s="723"/>
      <c r="Q78" s="723"/>
      <c r="T78" s="724">
        <f t="shared" si="12"/>
        <v>42856</v>
      </c>
      <c r="U78" s="834">
        <f>G78*V78-D78*V78*E78/2</f>
        <v>-5298.5932498194752</v>
      </c>
      <c r="V78" s="833">
        <v>287.61735052653427</v>
      </c>
    </row>
    <row r="79" spans="2:22" ht="14.5">
      <c r="B79" s="724">
        <v>42887</v>
      </c>
      <c r="C79" s="723">
        <f>'Streetlight Details'!C68</f>
        <v>254.14599999999999</v>
      </c>
      <c r="D79" s="733">
        <f t="shared" si="14"/>
        <v>-5.8049999999999784</v>
      </c>
      <c r="E79" s="797">
        <v>0.85199999999999998</v>
      </c>
      <c r="F79" s="723">
        <v>7</v>
      </c>
      <c r="G79" s="804">
        <f t="shared" si="11"/>
        <v>-34.621019999999866</v>
      </c>
      <c r="I79" s="723"/>
      <c r="J79" s="723"/>
      <c r="K79" s="723"/>
      <c r="L79" s="723"/>
      <c r="N79" s="723"/>
      <c r="O79" s="723"/>
      <c r="P79" s="723"/>
      <c r="Q79" s="723"/>
      <c r="T79" s="724">
        <f t="shared" si="12"/>
        <v>42887</v>
      </c>
      <c r="U79" s="834">
        <f t="shared" si="13"/>
        <v>-8354.2431287986328</v>
      </c>
      <c r="V79" s="833">
        <v>259.86747980357978</v>
      </c>
    </row>
    <row r="80" spans="2:22" ht="14.5">
      <c r="B80" s="724">
        <v>42917</v>
      </c>
      <c r="C80" s="723">
        <f>'Streetlight Details'!C66</f>
        <v>252.30600000000001</v>
      </c>
      <c r="D80" s="733">
        <f t="shared" si="14"/>
        <v>-1.839999999999975</v>
      </c>
      <c r="E80" s="797">
        <v>0.85199999999999998</v>
      </c>
      <c r="F80" s="723">
        <v>6</v>
      </c>
      <c r="G80" s="804">
        <f t="shared" si="11"/>
        <v>-9.4060799999998714</v>
      </c>
      <c r="I80" s="723"/>
      <c r="J80" s="723"/>
      <c r="K80" s="723"/>
      <c r="L80" s="723"/>
      <c r="N80" s="723"/>
      <c r="O80" s="723"/>
      <c r="P80" s="723"/>
      <c r="Q80" s="723"/>
      <c r="T80" s="724">
        <f t="shared" si="12"/>
        <v>42917</v>
      </c>
      <c r="U80" s="834">
        <f t="shared" si="13"/>
        <v>-2403.2747844030691</v>
      </c>
      <c r="V80" s="833">
        <v>278.72974823283761</v>
      </c>
    </row>
    <row r="81" spans="2:22" ht="14.5">
      <c r="B81" s="724">
        <v>42948</v>
      </c>
      <c r="C81" s="723">
        <f>'Streetlight Details'!C64</f>
        <v>247.01499999999999</v>
      </c>
      <c r="D81" s="733">
        <f t="shared" si="14"/>
        <v>-5.2910000000000252</v>
      </c>
      <c r="E81" s="797">
        <v>0.85199999999999998</v>
      </c>
      <c r="F81" s="723">
        <v>5</v>
      </c>
      <c r="G81" s="804">
        <f t="shared" si="11"/>
        <v>-22.539660000000108</v>
      </c>
      <c r="I81" s="723"/>
      <c r="J81" s="723"/>
      <c r="K81" s="723"/>
      <c r="L81" s="723"/>
      <c r="N81" s="723"/>
      <c r="O81" s="723"/>
      <c r="P81" s="723"/>
      <c r="Q81" s="723"/>
      <c r="T81" s="724">
        <f t="shared" si="12"/>
        <v>42948</v>
      </c>
      <c r="U81" s="834">
        <f t="shared" si="13"/>
        <v>-6387.0214414517432</v>
      </c>
      <c r="V81" s="833">
        <v>314.85348450251263</v>
      </c>
    </row>
    <row r="82" spans="2:22" ht="14.5">
      <c r="B82" s="724">
        <v>42979</v>
      </c>
      <c r="C82" s="723">
        <f>'Streetlight Details'!C62</f>
        <v>247.00899999999999</v>
      </c>
      <c r="D82" s="733">
        <f t="shared" si="14"/>
        <v>-0.0060000000000002274</v>
      </c>
      <c r="E82" s="797">
        <v>0.85199999999999998</v>
      </c>
      <c r="F82" s="723">
        <v>4</v>
      </c>
      <c r="G82" s="804">
        <f t="shared" si="11"/>
        <v>-0.020448000000000775</v>
      </c>
      <c r="I82" s="723"/>
      <c r="J82" s="723"/>
      <c r="K82" s="723"/>
      <c r="L82" s="723"/>
      <c r="N82" s="723"/>
      <c r="O82" s="723"/>
      <c r="P82" s="723"/>
      <c r="Q82" s="723"/>
      <c r="T82" s="724">
        <f t="shared" si="12"/>
        <v>42979</v>
      </c>
      <c r="U82" s="834">
        <f t="shared" si="13"/>
        <v>-6.1649671814465279</v>
      </c>
      <c r="V82" s="833">
        <v>344.56557016802452</v>
      </c>
    </row>
    <row r="83" spans="2:22" ht="14.5">
      <c r="B83" s="724">
        <v>43009</v>
      </c>
      <c r="C83" s="723">
        <f>'Streetlight Details'!C60</f>
        <v>245.68599999999995</v>
      </c>
      <c r="D83" s="733">
        <f>C83-C82</f>
        <v>-1.3230000000000359</v>
      </c>
      <c r="E83" s="797">
        <v>0.85199999999999998</v>
      </c>
      <c r="F83" s="723">
        <v>3</v>
      </c>
      <c r="G83" s="804">
        <f t="shared" si="11"/>
        <v>-3.3815880000000913</v>
      </c>
      <c r="I83" s="723"/>
      <c r="J83" s="723"/>
      <c r="K83" s="723"/>
      <c r="L83" s="723"/>
      <c r="N83" s="723"/>
      <c r="O83" s="723"/>
      <c r="P83" s="723"/>
      <c r="Q83" s="723"/>
      <c r="T83" s="724">
        <f t="shared" si="12"/>
        <v>43009</v>
      </c>
      <c r="U83" s="834">
        <f t="shared" si="13"/>
        <v>-1143.7954082506478</v>
      </c>
      <c r="V83" s="833">
        <v>405.89051354001145</v>
      </c>
    </row>
    <row r="84" spans="2:22" ht="14.5">
      <c r="B84" s="724">
        <v>43040</v>
      </c>
      <c r="C84" s="723">
        <f>'Streetlight Details'!C58</f>
        <v>245.34399999999997</v>
      </c>
      <c r="D84" s="733">
        <f t="shared" si="14"/>
        <v>-0.34199999999998454</v>
      </c>
      <c r="E84" s="797">
        <v>0.85199999999999998</v>
      </c>
      <c r="F84" s="723">
        <v>2</v>
      </c>
      <c r="G84" s="804">
        <f t="shared" si="11"/>
        <v>-0.58276799999997364</v>
      </c>
      <c r="I84" s="723"/>
      <c r="J84" s="723"/>
      <c r="K84" s="723"/>
      <c r="L84" s="723"/>
      <c r="N84" s="723"/>
      <c r="O84" s="723"/>
      <c r="P84" s="723"/>
      <c r="Q84" s="723"/>
      <c r="T84" s="724">
        <f t="shared" si="12"/>
        <v>43040</v>
      </c>
      <c r="U84" s="834">
        <f t="shared" si="13"/>
        <v>-187.1450114976081</v>
      </c>
      <c r="V84" s="833">
        <v>428.17498901247507</v>
      </c>
    </row>
    <row r="85" spans="2:22" ht="14.5">
      <c r="B85" s="724">
        <v>43070</v>
      </c>
      <c r="C85" s="723">
        <f>'Streetlight Details'!C56</f>
        <v>245.34399999999997</v>
      </c>
      <c r="D85" s="733">
        <f>C85-C84</f>
        <v>0</v>
      </c>
      <c r="E85" s="797">
        <v>0.85199999999999998</v>
      </c>
      <c r="F85" s="723">
        <v>1</v>
      </c>
      <c r="G85" s="804">
        <f t="shared" si="11"/>
        <v>0</v>
      </c>
      <c r="I85" s="723"/>
      <c r="J85" s="723"/>
      <c r="K85" s="723"/>
      <c r="L85" s="723"/>
      <c r="N85" s="723"/>
      <c r="O85" s="723"/>
      <c r="P85" s="723"/>
      <c r="Q85" s="723"/>
      <c r="T85" s="724">
        <f t="shared" si="12"/>
        <v>43070</v>
      </c>
      <c r="U85" s="834">
        <f t="shared" si="13"/>
        <v>0</v>
      </c>
      <c r="V85" s="833">
        <v>466.93684596152588</v>
      </c>
    </row>
    <row r="86" spans="2:22" ht="14.5">
      <c r="B86" s="734" t="s">
        <v>26</v>
      </c>
      <c r="C86" s="735"/>
      <c r="D86" s="735"/>
      <c r="E86" s="735"/>
      <c r="F86" s="735"/>
      <c r="G86" s="805">
        <f>SUM(G74:G85)</f>
        <v>-135.48589200000023</v>
      </c>
      <c r="I86" s="723"/>
      <c r="J86" s="723"/>
      <c r="K86" s="723"/>
      <c r="L86" s="723"/>
      <c r="N86" s="723"/>
      <c r="O86" s="723"/>
      <c r="P86" s="723"/>
      <c r="Q86" s="723"/>
      <c r="T86" s="734" t="s">
        <v>26</v>
      </c>
      <c r="U86" s="835">
        <f>SUM(U74:U85)</f>
        <v>-41723.837405122496</v>
      </c>
      <c r="V86" s="836">
        <f>SUM(V74:V85)</f>
        <v>4315.9412193109156</v>
      </c>
    </row>
    <row r="87" spans="2:22" ht="14.5">
      <c r="B87" s="724" t="s">
        <v>799</v>
      </c>
      <c r="C87" s="723"/>
      <c r="D87" s="723"/>
      <c r="E87" s="723"/>
      <c r="F87" s="723"/>
      <c r="G87" s="804">
        <f>SUM(D74:D85)*-12*E85</f>
        <v>228.27124800000027</v>
      </c>
      <c r="I87" s="723"/>
      <c r="J87" s="723"/>
      <c r="K87" s="723"/>
      <c r="L87" s="723"/>
      <c r="N87" s="723"/>
      <c r="O87" s="723"/>
      <c r="P87" s="723"/>
      <c r="Q87" s="723"/>
      <c r="T87" s="724" t="str">
        <f>B87</f>
        <v>Persistence in 2018</v>
      </c>
      <c r="U87" s="834">
        <f>G87*V86/12</f>
        <v>82100.440702228792</v>
      </c>
      <c r="V87" s="723"/>
    </row>
    <row r="88" spans="2:22" ht="14.5">
      <c r="B88" s="724" t="s">
        <v>800</v>
      </c>
      <c r="C88" s="723"/>
      <c r="D88" s="723"/>
      <c r="E88" s="723"/>
      <c r="F88" s="723"/>
      <c r="G88" s="804">
        <f>G87</f>
        <v>228.27124800000027</v>
      </c>
      <c r="I88" s="723"/>
      <c r="J88" s="723"/>
      <c r="K88" s="723"/>
      <c r="L88" s="723"/>
      <c r="N88" s="723"/>
      <c r="O88" s="723"/>
      <c r="P88" s="723"/>
      <c r="Q88" s="723"/>
      <c r="T88" s="724" t="str">
        <f t="shared" si="15" ref="T88:T89">B88</f>
        <v>Persistence in 2019</v>
      </c>
      <c r="U88" s="834">
        <f>G88*V86/12</f>
        <v>82100.440702228792</v>
      </c>
      <c r="V88" s="723"/>
    </row>
    <row r="89" spans="2:22" ht="14.5">
      <c r="B89" s="724" t="s">
        <v>801</v>
      </c>
      <c r="C89" s="723"/>
      <c r="D89" s="723"/>
      <c r="E89" s="723"/>
      <c r="F89" s="723"/>
      <c r="G89" s="804">
        <f>G88</f>
        <v>228.27124800000027</v>
      </c>
      <c r="I89" s="723"/>
      <c r="J89" s="723"/>
      <c r="K89" s="723"/>
      <c r="L89" s="723"/>
      <c r="N89" s="723"/>
      <c r="O89" s="723"/>
      <c r="P89" s="723"/>
      <c r="Q89" s="723"/>
      <c r="T89" s="724" t="str">
        <f t="shared" si="15"/>
        <v>Persistence in 2020</v>
      </c>
      <c r="U89" s="834">
        <f>G89*V86/12</f>
        <v>82100.440702228792</v>
      </c>
      <c r="V89" s="723"/>
    </row>
    <row r="90" spans="9:17" ht="14.5">
      <c r="I90" s="734" t="s">
        <v>26</v>
      </c>
      <c r="J90" s="735"/>
      <c r="K90" s="735"/>
      <c r="L90" s="731">
        <f>SUM(L74:L89)</f>
        <v>0</v>
      </c>
      <c r="N90" s="734" t="s">
        <v>26</v>
      </c>
      <c r="O90" s="735"/>
      <c r="P90" s="735"/>
      <c r="Q90" s="732">
        <f>SUM(Q74:Q89)</f>
        <v>0</v>
      </c>
    </row>
    <row r="92" spans="2:9" ht="21">
      <c r="B92" s="725" t="s">
        <v>702</v>
      </c>
      <c r="C92" s="726"/>
      <c r="E92" s="726"/>
      <c r="F92" s="726"/>
      <c r="G92" s="802"/>
      <c r="I92" s="725" t="s">
        <v>703</v>
      </c>
    </row>
    <row r="93" spans="2:14" ht="14.5">
      <c r="B93" s="916" t="s">
        <v>680</v>
      </c>
      <c r="C93" s="916"/>
      <c r="D93" s="916"/>
      <c r="E93" s="916"/>
      <c r="F93" s="916"/>
      <c r="G93" s="916"/>
      <c r="I93" s="12" t="s">
        <v>688</v>
      </c>
      <c r="N93" s="12" t="s">
        <v>689</v>
      </c>
    </row>
    <row r="94" spans="2:17" ht="43.5">
      <c r="B94" s="736" t="s">
        <v>62</v>
      </c>
      <c r="C94" s="736" t="s">
        <v>681</v>
      </c>
      <c r="D94" s="736" t="s">
        <v>682</v>
      </c>
      <c r="E94" s="736" t="s">
        <v>684</v>
      </c>
      <c r="F94" s="736"/>
      <c r="G94" s="803" t="s">
        <v>683</v>
      </c>
      <c r="I94" s="736" t="s">
        <v>685</v>
      </c>
      <c r="J94" s="736" t="s">
        <v>686</v>
      </c>
      <c r="K94" s="736" t="s">
        <v>687</v>
      </c>
      <c r="L94" s="736" t="s">
        <v>681</v>
      </c>
      <c r="N94" s="736" t="s">
        <v>685</v>
      </c>
      <c r="O94" s="736" t="s">
        <v>686</v>
      </c>
      <c r="P94" s="736" t="s">
        <v>687</v>
      </c>
      <c r="Q94" s="736" t="s">
        <v>681</v>
      </c>
    </row>
    <row r="95" spans="2:17" ht="16.5">
      <c r="B95" s="736"/>
      <c r="C95" s="736" t="s">
        <v>691</v>
      </c>
      <c r="D95" s="736" t="s">
        <v>692</v>
      </c>
      <c r="E95" s="736" t="s">
        <v>693</v>
      </c>
      <c r="F95" s="736"/>
      <c r="G95" s="803" t="s">
        <v>694</v>
      </c>
      <c r="I95" s="736"/>
      <c r="J95" s="736" t="s">
        <v>695</v>
      </c>
      <c r="K95" s="736" t="s">
        <v>696</v>
      </c>
      <c r="L95" s="736" t="s">
        <v>697</v>
      </c>
      <c r="N95" s="736"/>
      <c r="O95" s="736" t="s">
        <v>698</v>
      </c>
      <c r="P95" s="736" t="s">
        <v>699</v>
      </c>
      <c r="Q95" s="736" t="s">
        <v>700</v>
      </c>
    </row>
    <row r="96" spans="2:22" ht="14.5">
      <c r="B96" s="724">
        <v>43101</v>
      </c>
      <c r="C96" s="723">
        <f>'Streetlight Details'!C54</f>
        <v>244.62599999999995</v>
      </c>
      <c r="D96" s="811">
        <v>0</v>
      </c>
      <c r="E96" s="797">
        <v>0.85199999999999998</v>
      </c>
      <c r="F96" s="723">
        <v>12</v>
      </c>
      <c r="G96" s="805">
        <f>D96*E96*F96</f>
        <v>0</v>
      </c>
      <c r="I96" s="723"/>
      <c r="J96" s="723"/>
      <c r="K96" s="723"/>
      <c r="L96" s="723">
        <f>J96*K96</f>
        <v>0</v>
      </c>
      <c r="N96" s="723"/>
      <c r="O96" s="723"/>
      <c r="P96" s="723"/>
      <c r="Q96" s="723">
        <f>O96*P96</f>
        <v>0</v>
      </c>
      <c r="U96" s="831"/>
      <c r="V96" s="832"/>
    </row>
    <row r="97" spans="2:22" ht="14.5">
      <c r="B97" s="724">
        <v>43132</v>
      </c>
      <c r="C97" s="723">
        <f>'Streetlight Details'!C52</f>
        <v>244.62599999999995</v>
      </c>
      <c r="D97" s="796">
        <f>C97-C96</f>
        <v>0</v>
      </c>
      <c r="E97" s="797">
        <v>0.85199999999999998</v>
      </c>
      <c r="F97" s="723">
        <v>11</v>
      </c>
      <c r="G97" s="805">
        <f t="shared" si="16" ref="G97:G107">D97*E97*F97</f>
        <v>0</v>
      </c>
      <c r="I97" s="723"/>
      <c r="J97" s="723"/>
      <c r="K97" s="723"/>
      <c r="L97" s="723"/>
      <c r="N97" s="723"/>
      <c r="O97" s="723"/>
      <c r="P97" s="723"/>
      <c r="Q97" s="723"/>
      <c r="U97" s="831"/>
      <c r="V97" s="832"/>
    </row>
    <row r="98" spans="2:22" ht="14.5">
      <c r="B98" s="724">
        <v>43160</v>
      </c>
      <c r="C98" s="723">
        <f>'Streetlight Details'!C50</f>
        <v>244.62599999999995</v>
      </c>
      <c r="D98" s="796">
        <f t="shared" si="17" ref="D98:D107">C98-C97</f>
        <v>0</v>
      </c>
      <c r="E98" s="797">
        <v>0.85199999999999998</v>
      </c>
      <c r="F98" s="723">
        <v>10</v>
      </c>
      <c r="G98" s="805">
        <f t="shared" si="16"/>
        <v>0</v>
      </c>
      <c r="I98" s="723"/>
      <c r="J98" s="723"/>
      <c r="K98" s="723"/>
      <c r="L98" s="723"/>
      <c r="N98" s="723"/>
      <c r="O98" s="723"/>
      <c r="P98" s="723"/>
      <c r="Q98" s="723"/>
      <c r="U98" s="831"/>
      <c r="V98" s="832"/>
    </row>
    <row r="99" spans="2:22" ht="14.5">
      <c r="B99" s="724">
        <v>43191</v>
      </c>
      <c r="C99" s="723">
        <f>'Streetlight Details'!C48</f>
        <v>244.62599999999995</v>
      </c>
      <c r="D99" s="796">
        <f t="shared" si="17"/>
        <v>0</v>
      </c>
      <c r="E99" s="797">
        <v>0.85199999999999998</v>
      </c>
      <c r="F99" s="723">
        <v>9</v>
      </c>
      <c r="G99" s="805">
        <f t="shared" si="16"/>
        <v>0</v>
      </c>
      <c r="I99" s="723"/>
      <c r="J99" s="723"/>
      <c r="K99" s="723"/>
      <c r="L99" s="723"/>
      <c r="N99" s="723"/>
      <c r="O99" s="723"/>
      <c r="P99" s="723"/>
      <c r="Q99" s="723"/>
      <c r="U99" s="831"/>
      <c r="V99" s="832"/>
    </row>
    <row r="100" spans="2:22" ht="14.5">
      <c r="B100" s="724">
        <v>43221</v>
      </c>
      <c r="C100" s="723">
        <f>'Streetlight Details'!C46</f>
        <v>244.62599999999995</v>
      </c>
      <c r="D100" s="796">
        <f t="shared" si="17"/>
        <v>0</v>
      </c>
      <c r="E100" s="797">
        <v>0.85199999999999998</v>
      </c>
      <c r="F100" s="723">
        <v>8</v>
      </c>
      <c r="G100" s="805">
        <f t="shared" si="16"/>
        <v>0</v>
      </c>
      <c r="I100" s="723"/>
      <c r="J100" s="723"/>
      <c r="K100" s="723"/>
      <c r="L100" s="723"/>
      <c r="N100" s="723"/>
      <c r="O100" s="723"/>
      <c r="P100" s="723"/>
      <c r="Q100" s="723"/>
      <c r="U100" s="831"/>
      <c r="V100" s="832"/>
    </row>
    <row r="101" spans="2:22" ht="14.5">
      <c r="B101" s="724">
        <v>43252</v>
      </c>
      <c r="C101" s="723">
        <f>'Streetlight Details'!C44</f>
        <v>244.05399999999997</v>
      </c>
      <c r="D101" s="811">
        <v>0</v>
      </c>
      <c r="E101" s="797">
        <v>0.85199999999999998</v>
      </c>
      <c r="F101" s="723">
        <v>7</v>
      </c>
      <c r="G101" s="805">
        <f t="shared" si="16"/>
        <v>0</v>
      </c>
      <c r="I101" s="723"/>
      <c r="J101" s="723"/>
      <c r="K101" s="723"/>
      <c r="L101" s="723"/>
      <c r="N101" s="723"/>
      <c r="O101" s="723"/>
      <c r="P101" s="723"/>
      <c r="Q101" s="723"/>
      <c r="U101" s="831"/>
      <c r="V101" s="832"/>
    </row>
    <row r="102" spans="2:22" ht="14.5">
      <c r="B102" s="724">
        <v>43282</v>
      </c>
      <c r="C102" s="723">
        <f>'Streetlight Details'!C42</f>
        <v>244.05399999999997</v>
      </c>
      <c r="D102" s="796">
        <f t="shared" si="17"/>
        <v>0</v>
      </c>
      <c r="E102" s="797">
        <v>0.85199999999999998</v>
      </c>
      <c r="F102" s="723">
        <v>6</v>
      </c>
      <c r="G102" s="805">
        <f t="shared" si="16"/>
        <v>0</v>
      </c>
      <c r="I102" s="723"/>
      <c r="J102" s="723"/>
      <c r="K102" s="723"/>
      <c r="L102" s="723"/>
      <c r="N102" s="723"/>
      <c r="O102" s="723"/>
      <c r="P102" s="723"/>
      <c r="Q102" s="723"/>
      <c r="U102" s="831"/>
      <c r="V102" s="832"/>
    </row>
    <row r="103" spans="2:22" ht="14.5">
      <c r="B103" s="724">
        <v>43313</v>
      </c>
      <c r="C103" s="723">
        <f>'Streetlight Details'!C40</f>
        <v>244.05399999999997</v>
      </c>
      <c r="D103" s="796">
        <f t="shared" si="17"/>
        <v>0</v>
      </c>
      <c r="E103" s="797">
        <v>0.85199999999999998</v>
      </c>
      <c r="F103" s="723">
        <v>5</v>
      </c>
      <c r="G103" s="805">
        <f t="shared" si="16"/>
        <v>0</v>
      </c>
      <c r="I103" s="723"/>
      <c r="J103" s="723"/>
      <c r="K103" s="723"/>
      <c r="L103" s="723"/>
      <c r="N103" s="723"/>
      <c r="O103" s="723"/>
      <c r="P103" s="723"/>
      <c r="Q103" s="723"/>
      <c r="U103" s="831"/>
      <c r="V103" s="832"/>
    </row>
    <row r="104" spans="2:22" ht="14.5">
      <c r="B104" s="724">
        <v>43344</v>
      </c>
      <c r="C104" s="723">
        <f>'Streetlight Details'!C38</f>
        <v>244.05399999999997</v>
      </c>
      <c r="D104" s="796">
        <f t="shared" si="17"/>
        <v>0</v>
      </c>
      <c r="E104" s="797">
        <v>0.85199999999999998</v>
      </c>
      <c r="F104" s="723">
        <v>4</v>
      </c>
      <c r="G104" s="805">
        <f t="shared" si="16"/>
        <v>0</v>
      </c>
      <c r="I104" s="723"/>
      <c r="J104" s="723"/>
      <c r="K104" s="723"/>
      <c r="L104" s="723"/>
      <c r="N104" s="723"/>
      <c r="O104" s="723"/>
      <c r="P104" s="723"/>
      <c r="Q104" s="723"/>
      <c r="U104" s="831"/>
      <c r="V104" s="832"/>
    </row>
    <row r="105" spans="2:22" ht="14.5">
      <c r="B105" s="724">
        <v>43374</v>
      </c>
      <c r="C105" s="723">
        <f>'Streetlight Details'!C36</f>
        <v>244.05399999999997</v>
      </c>
      <c r="D105" s="796">
        <f t="shared" si="17"/>
        <v>0</v>
      </c>
      <c r="E105" s="797">
        <v>0.85199999999999998</v>
      </c>
      <c r="F105" s="723">
        <v>3</v>
      </c>
      <c r="G105" s="805">
        <f t="shared" si="16"/>
        <v>0</v>
      </c>
      <c r="I105" s="723"/>
      <c r="J105" s="723"/>
      <c r="K105" s="723"/>
      <c r="L105" s="723"/>
      <c r="N105" s="723"/>
      <c r="O105" s="723"/>
      <c r="P105" s="723"/>
      <c r="Q105" s="723"/>
      <c r="U105" s="831"/>
      <c r="V105" s="832"/>
    </row>
    <row r="106" spans="2:22" ht="14.5">
      <c r="B106" s="724">
        <v>43405</v>
      </c>
      <c r="C106" s="723">
        <f>'Streetlight Details'!C34</f>
        <v>244.05399999999997</v>
      </c>
      <c r="D106" s="796">
        <f t="shared" si="17"/>
        <v>0</v>
      </c>
      <c r="E106" s="797">
        <v>0.85199999999999998</v>
      </c>
      <c r="F106" s="723">
        <v>2</v>
      </c>
      <c r="G106" s="805">
        <f t="shared" si="16"/>
        <v>0</v>
      </c>
      <c r="I106" s="723"/>
      <c r="J106" s="723"/>
      <c r="K106" s="723"/>
      <c r="L106" s="723"/>
      <c r="N106" s="723"/>
      <c r="O106" s="723"/>
      <c r="P106" s="723"/>
      <c r="Q106" s="723"/>
      <c r="U106" s="831"/>
      <c r="V106" s="832"/>
    </row>
    <row r="107" spans="2:22" ht="14.5">
      <c r="B107" s="724">
        <v>43435</v>
      </c>
      <c r="C107" s="723">
        <f>'Streetlight Details'!C32</f>
        <v>244.05399999999997</v>
      </c>
      <c r="D107" s="796">
        <f t="shared" si="17"/>
        <v>0</v>
      </c>
      <c r="E107" s="797">
        <v>0.85199999999999998</v>
      </c>
      <c r="F107" s="723">
        <v>1</v>
      </c>
      <c r="G107" s="805">
        <f t="shared" si="16"/>
        <v>0</v>
      </c>
      <c r="I107" s="723"/>
      <c r="J107" s="723"/>
      <c r="K107" s="723"/>
      <c r="L107" s="723"/>
      <c r="N107" s="723"/>
      <c r="O107" s="723"/>
      <c r="P107" s="723"/>
      <c r="Q107" s="723"/>
      <c r="U107" s="831"/>
      <c r="V107" s="832"/>
    </row>
    <row r="108" spans="2:17" ht="14.5">
      <c r="B108" s="734" t="s">
        <v>26</v>
      </c>
      <c r="C108" s="735"/>
      <c r="D108" s="735"/>
      <c r="E108" s="735"/>
      <c r="F108" s="735"/>
      <c r="G108" s="805">
        <f>SUM(G96:G107)</f>
        <v>0</v>
      </c>
      <c r="I108" s="723"/>
      <c r="J108" s="723"/>
      <c r="K108" s="723"/>
      <c r="L108" s="723"/>
      <c r="N108" s="723"/>
      <c r="O108" s="723"/>
      <c r="P108" s="723"/>
      <c r="Q108" s="723"/>
    </row>
    <row r="109" spans="2:17" ht="14.5">
      <c r="B109" s="724" t="s">
        <v>800</v>
      </c>
      <c r="C109" s="723"/>
      <c r="D109" s="723"/>
      <c r="E109" s="723"/>
      <c r="F109" s="723"/>
      <c r="G109" s="804">
        <f>SUM(D96:D107)*-12</f>
        <v>0</v>
      </c>
      <c r="I109" s="723"/>
      <c r="J109" s="723"/>
      <c r="K109" s="723"/>
      <c r="L109" s="723"/>
      <c r="N109" s="723"/>
      <c r="O109" s="723"/>
      <c r="P109" s="723"/>
      <c r="Q109" s="723"/>
    </row>
    <row r="110" spans="2:17" ht="14.5">
      <c r="B110" s="724" t="s">
        <v>801</v>
      </c>
      <c r="C110" s="723"/>
      <c r="D110" s="723"/>
      <c r="E110" s="723"/>
      <c r="F110" s="723"/>
      <c r="G110" s="804">
        <f>G109</f>
        <v>0</v>
      </c>
      <c r="I110" s="723"/>
      <c r="J110" s="723"/>
      <c r="K110" s="723"/>
      <c r="L110" s="723"/>
      <c r="N110" s="723"/>
      <c r="O110" s="723"/>
      <c r="P110" s="723"/>
      <c r="Q110" s="723"/>
    </row>
    <row r="111" spans="9:17" ht="14.5">
      <c r="I111" s="734" t="s">
        <v>26</v>
      </c>
      <c r="J111" s="735"/>
      <c r="K111" s="735"/>
      <c r="L111" s="731">
        <f>SUM(L96:L110)</f>
        <v>0</v>
      </c>
      <c r="N111" s="734" t="s">
        <v>26</v>
      </c>
      <c r="O111" s="735"/>
      <c r="P111" s="735"/>
      <c r="Q111" s="732">
        <f>SUM(Q96:Q110)</f>
        <v>0</v>
      </c>
    </row>
    <row r="114" spans="2:9" ht="21">
      <c r="B114" s="725" t="s">
        <v>702</v>
      </c>
      <c r="C114" s="726"/>
      <c r="E114" s="726"/>
      <c r="F114" s="726"/>
      <c r="G114" s="802"/>
      <c r="I114" s="725" t="s">
        <v>703</v>
      </c>
    </row>
    <row r="115" spans="2:14" ht="14.5">
      <c r="B115" s="916" t="s">
        <v>680</v>
      </c>
      <c r="C115" s="916"/>
      <c r="D115" s="916"/>
      <c r="E115" s="916"/>
      <c r="F115" s="916"/>
      <c r="G115" s="916"/>
      <c r="I115" s="12" t="s">
        <v>688</v>
      </c>
      <c r="N115" s="12" t="s">
        <v>689</v>
      </c>
    </row>
    <row r="116" spans="2:17" ht="43.5">
      <c r="B116" s="736" t="s">
        <v>62</v>
      </c>
      <c r="C116" s="736" t="s">
        <v>681</v>
      </c>
      <c r="D116" s="736" t="s">
        <v>682</v>
      </c>
      <c r="E116" s="736" t="s">
        <v>684</v>
      </c>
      <c r="F116" s="736"/>
      <c r="G116" s="803" t="s">
        <v>683</v>
      </c>
      <c r="I116" s="736" t="s">
        <v>685</v>
      </c>
      <c r="J116" s="736" t="s">
        <v>686</v>
      </c>
      <c r="K116" s="736" t="s">
        <v>687</v>
      </c>
      <c r="L116" s="736" t="s">
        <v>681</v>
      </c>
      <c r="N116" s="736" t="s">
        <v>685</v>
      </c>
      <c r="O116" s="736" t="s">
        <v>686</v>
      </c>
      <c r="P116" s="736" t="s">
        <v>687</v>
      </c>
      <c r="Q116" s="736" t="s">
        <v>681</v>
      </c>
    </row>
    <row r="117" spans="2:17" ht="16.5">
      <c r="B117" s="736"/>
      <c r="C117" s="736" t="s">
        <v>691</v>
      </c>
      <c r="D117" s="736" t="s">
        <v>692</v>
      </c>
      <c r="E117" s="736" t="s">
        <v>693</v>
      </c>
      <c r="F117" s="736"/>
      <c r="G117" s="803" t="s">
        <v>694</v>
      </c>
      <c r="I117" s="736"/>
      <c r="J117" s="736" t="s">
        <v>695</v>
      </c>
      <c r="K117" s="736" t="s">
        <v>696</v>
      </c>
      <c r="L117" s="736" t="s">
        <v>697</v>
      </c>
      <c r="N117" s="736"/>
      <c r="O117" s="736" t="s">
        <v>698</v>
      </c>
      <c r="P117" s="736" t="s">
        <v>699</v>
      </c>
      <c r="Q117" s="736" t="s">
        <v>700</v>
      </c>
    </row>
    <row r="118" spans="2:17" ht="14.5">
      <c r="B118" s="724">
        <v>43466</v>
      </c>
      <c r="C118" s="723">
        <f>'Streetlight Details'!C30</f>
        <v>244.05399999999997</v>
      </c>
      <c r="D118" s="796">
        <f>C118-C107</f>
        <v>0</v>
      </c>
      <c r="E118" s="797">
        <v>0.85199999999999998</v>
      </c>
      <c r="F118" s="723">
        <v>12</v>
      </c>
      <c r="G118" s="804">
        <f>D118*E118*F118</f>
        <v>0</v>
      </c>
      <c r="I118" s="723"/>
      <c r="J118" s="723"/>
      <c r="K118" s="723"/>
      <c r="L118" s="723">
        <f>J118*K118</f>
        <v>0</v>
      </c>
      <c r="N118" s="723"/>
      <c r="O118" s="723"/>
      <c r="P118" s="723"/>
      <c r="Q118" s="723">
        <f>O118*P118</f>
        <v>0</v>
      </c>
    </row>
    <row r="119" spans="2:17" ht="14.5">
      <c r="B119" s="724">
        <v>43497</v>
      </c>
      <c r="C119" s="723">
        <f>'Streetlight Details'!C28</f>
        <v>244.05399999999997</v>
      </c>
      <c r="D119" s="733">
        <f>C119-C118</f>
        <v>0</v>
      </c>
      <c r="E119" s="797">
        <v>0.85199999999999998</v>
      </c>
      <c r="F119" s="723">
        <v>11</v>
      </c>
      <c r="G119" s="804">
        <f t="shared" si="18" ref="G119:G129">D119*E119*F119</f>
        <v>0</v>
      </c>
      <c r="I119" s="723"/>
      <c r="J119" s="723"/>
      <c r="K119" s="723"/>
      <c r="L119" s="723"/>
      <c r="N119" s="723"/>
      <c r="O119" s="723"/>
      <c r="P119" s="723"/>
      <c r="Q119" s="723"/>
    </row>
    <row r="120" spans="2:17" ht="14.5">
      <c r="B120" s="724">
        <v>43525</v>
      </c>
      <c r="C120" s="723">
        <f>'Streetlight Details'!C26</f>
        <v>244.05399999999997</v>
      </c>
      <c r="D120" s="733">
        <f t="shared" si="19" ref="D120:D129">C120-C119</f>
        <v>0</v>
      </c>
      <c r="E120" s="797">
        <v>0.85199999999999998</v>
      </c>
      <c r="F120" s="723">
        <v>10</v>
      </c>
      <c r="G120" s="804">
        <f t="shared" si="18"/>
        <v>0</v>
      </c>
      <c r="I120" s="723"/>
      <c r="J120" s="723"/>
      <c r="K120" s="723"/>
      <c r="L120" s="723"/>
      <c r="N120" s="723"/>
      <c r="O120" s="723"/>
      <c r="P120" s="723"/>
      <c r="Q120" s="723"/>
    </row>
    <row r="121" spans="2:17" ht="14.5">
      <c r="B121" s="724">
        <v>43556</v>
      </c>
      <c r="C121" s="723">
        <f>'Streetlight Details'!C24</f>
        <v>244.05399999999997</v>
      </c>
      <c r="D121" s="733">
        <f t="shared" si="19"/>
        <v>0</v>
      </c>
      <c r="E121" s="797">
        <v>0.85199999999999998</v>
      </c>
      <c r="F121" s="723">
        <v>9</v>
      </c>
      <c r="G121" s="804">
        <f t="shared" si="18"/>
        <v>0</v>
      </c>
      <c r="I121" s="723"/>
      <c r="J121" s="723"/>
      <c r="K121" s="723"/>
      <c r="L121" s="723"/>
      <c r="N121" s="723"/>
      <c r="O121" s="723"/>
      <c r="P121" s="723"/>
      <c r="Q121" s="723"/>
    </row>
    <row r="122" spans="2:17" ht="14.5">
      <c r="B122" s="724">
        <v>43586</v>
      </c>
      <c r="C122" s="723">
        <f>'Streetlight Details'!C22</f>
        <v>244.05399999999997</v>
      </c>
      <c r="D122" s="733">
        <f t="shared" si="19"/>
        <v>0</v>
      </c>
      <c r="E122" s="797">
        <v>0.85199999999999998</v>
      </c>
      <c r="F122" s="723">
        <v>8</v>
      </c>
      <c r="G122" s="804">
        <f t="shared" si="18"/>
        <v>0</v>
      </c>
      <c r="I122" s="723"/>
      <c r="J122" s="723"/>
      <c r="K122" s="723"/>
      <c r="L122" s="723"/>
      <c r="N122" s="723"/>
      <c r="O122" s="723"/>
      <c r="P122" s="723"/>
      <c r="Q122" s="723"/>
    </row>
    <row r="123" spans="2:17" ht="14.5">
      <c r="B123" s="724">
        <v>43617</v>
      </c>
      <c r="C123" s="723">
        <f>'Streetlight Details'!C20</f>
        <v>244.05399999999997</v>
      </c>
      <c r="D123" s="733">
        <f t="shared" si="19"/>
        <v>0</v>
      </c>
      <c r="E123" s="797">
        <v>0.85199999999999998</v>
      </c>
      <c r="F123" s="723">
        <v>7</v>
      </c>
      <c r="G123" s="804">
        <f t="shared" si="18"/>
        <v>0</v>
      </c>
      <c r="I123" s="723"/>
      <c r="J123" s="723"/>
      <c r="K123" s="723"/>
      <c r="L123" s="723"/>
      <c r="N123" s="723"/>
      <c r="O123" s="723"/>
      <c r="P123" s="723"/>
      <c r="Q123" s="723"/>
    </row>
    <row r="124" spans="2:17" ht="14.5">
      <c r="B124" s="724">
        <v>43647</v>
      </c>
      <c r="C124" s="723">
        <f>'Streetlight Details'!C18</f>
        <v>244.05399999999997</v>
      </c>
      <c r="D124" s="733">
        <f t="shared" si="19"/>
        <v>0</v>
      </c>
      <c r="E124" s="797">
        <v>0.85199999999999998</v>
      </c>
      <c r="F124" s="723">
        <v>6</v>
      </c>
      <c r="G124" s="804">
        <f t="shared" si="18"/>
        <v>0</v>
      </c>
      <c r="I124" s="723"/>
      <c r="J124" s="723"/>
      <c r="K124" s="723"/>
      <c r="L124" s="723"/>
      <c r="N124" s="723"/>
      <c r="O124" s="723"/>
      <c r="P124" s="723"/>
      <c r="Q124" s="723"/>
    </row>
    <row r="125" spans="2:17" ht="14.5">
      <c r="B125" s="724">
        <v>43678</v>
      </c>
      <c r="C125" s="723">
        <f>'Streetlight Details'!C16</f>
        <v>244.05399999999997</v>
      </c>
      <c r="D125" s="733">
        <f t="shared" si="19"/>
        <v>0</v>
      </c>
      <c r="E125" s="797">
        <v>0.85199999999999998</v>
      </c>
      <c r="F125" s="723">
        <v>5</v>
      </c>
      <c r="G125" s="804">
        <f t="shared" si="18"/>
        <v>0</v>
      </c>
      <c r="I125" s="723"/>
      <c r="J125" s="723"/>
      <c r="K125" s="723"/>
      <c r="L125" s="723"/>
      <c r="N125" s="723"/>
      <c r="O125" s="723"/>
      <c r="P125" s="723"/>
      <c r="Q125" s="723"/>
    </row>
    <row r="126" spans="2:17" ht="14.5">
      <c r="B126" s="724">
        <v>43709</v>
      </c>
      <c r="C126" s="723">
        <f>'Streetlight Details'!C14</f>
        <v>244.05399999999997</v>
      </c>
      <c r="D126" s="733">
        <f t="shared" si="19"/>
        <v>0</v>
      </c>
      <c r="E126" s="797">
        <v>0.85199999999999998</v>
      </c>
      <c r="F126" s="723">
        <v>4</v>
      </c>
      <c r="G126" s="804">
        <f t="shared" si="18"/>
        <v>0</v>
      </c>
      <c r="I126" s="723"/>
      <c r="J126" s="723"/>
      <c r="K126" s="723"/>
      <c r="L126" s="723"/>
      <c r="N126" s="723"/>
      <c r="O126" s="723"/>
      <c r="P126" s="723"/>
      <c r="Q126" s="723"/>
    </row>
    <row r="127" spans="2:17" ht="14.5">
      <c r="B127" s="724">
        <v>43739</v>
      </c>
      <c r="C127" s="723">
        <f>'Streetlight Details'!C12</f>
        <v>244.05399999999997</v>
      </c>
      <c r="D127" s="733">
        <f t="shared" si="19"/>
        <v>0</v>
      </c>
      <c r="E127" s="797">
        <v>0.85199999999999998</v>
      </c>
      <c r="F127" s="723">
        <v>3</v>
      </c>
      <c r="G127" s="804">
        <f t="shared" si="18"/>
        <v>0</v>
      </c>
      <c r="I127" s="723"/>
      <c r="J127" s="723"/>
      <c r="K127" s="723"/>
      <c r="L127" s="723"/>
      <c r="N127" s="723"/>
      <c r="O127" s="723"/>
      <c r="P127" s="723"/>
      <c r="Q127" s="723"/>
    </row>
    <row r="128" spans="2:17" ht="14.5">
      <c r="B128" s="724">
        <v>43770</v>
      </c>
      <c r="C128" s="723">
        <f>'Streetlight Details'!C10</f>
        <v>244.05399999999997</v>
      </c>
      <c r="D128" s="733">
        <f t="shared" si="19"/>
        <v>0</v>
      </c>
      <c r="E128" s="797">
        <v>0.85199999999999998</v>
      </c>
      <c r="F128" s="723">
        <v>2</v>
      </c>
      <c r="G128" s="804">
        <f t="shared" si="18"/>
        <v>0</v>
      </c>
      <c r="I128" s="723"/>
      <c r="J128" s="723"/>
      <c r="K128" s="723"/>
      <c r="L128" s="723"/>
      <c r="N128" s="723"/>
      <c r="O128" s="723"/>
      <c r="P128" s="723"/>
      <c r="Q128" s="723"/>
    </row>
    <row r="129" spans="2:17" ht="14.5">
      <c r="B129" s="724">
        <v>43800</v>
      </c>
      <c r="C129" s="723">
        <f>'Streetlight Details'!C8</f>
        <v>244.05399999999997</v>
      </c>
      <c r="D129" s="733">
        <f t="shared" si="19"/>
        <v>0</v>
      </c>
      <c r="E129" s="797">
        <v>0.85199999999999998</v>
      </c>
      <c r="F129" s="723">
        <v>1</v>
      </c>
      <c r="G129" s="804">
        <f t="shared" si="18"/>
        <v>0</v>
      </c>
      <c r="I129" s="723"/>
      <c r="J129" s="723"/>
      <c r="K129" s="723"/>
      <c r="L129" s="723"/>
      <c r="N129" s="723"/>
      <c r="O129" s="723"/>
      <c r="P129" s="723"/>
      <c r="Q129" s="723"/>
    </row>
    <row r="130" spans="2:17" ht="14.5">
      <c r="B130" s="734" t="s">
        <v>26</v>
      </c>
      <c r="C130" s="735"/>
      <c r="D130" s="735"/>
      <c r="E130" s="735"/>
      <c r="F130" s="735"/>
      <c r="G130" s="805">
        <f>SUM(G118:G129)</f>
        <v>0</v>
      </c>
      <c r="I130" s="723"/>
      <c r="J130" s="723"/>
      <c r="K130" s="723"/>
      <c r="L130" s="723"/>
      <c r="N130" s="723"/>
      <c r="O130" s="723"/>
      <c r="P130" s="723"/>
      <c r="Q130" s="723"/>
    </row>
    <row r="131" spans="2:17" ht="14.5">
      <c r="B131" s="724" t="s">
        <v>801</v>
      </c>
      <c r="C131" s="723"/>
      <c r="D131" s="723"/>
      <c r="E131" s="723"/>
      <c r="F131" s="723"/>
      <c r="G131" s="804">
        <f>SUM(D118:D129)*-12</f>
        <v>0</v>
      </c>
      <c r="I131" s="723"/>
      <c r="J131" s="723"/>
      <c r="K131" s="723"/>
      <c r="L131" s="723"/>
      <c r="N131" s="723"/>
      <c r="O131" s="723"/>
      <c r="P131" s="723"/>
      <c r="Q131" s="723"/>
    </row>
    <row r="132" spans="9:17" ht="14.5">
      <c r="I132" s="734" t="s">
        <v>26</v>
      </c>
      <c r="J132" s="735"/>
      <c r="K132" s="735"/>
      <c r="L132" s="731">
        <f>SUM(L118:L131)</f>
        <v>0</v>
      </c>
      <c r="N132" s="734" t="s">
        <v>26</v>
      </c>
      <c r="O132" s="735"/>
      <c r="P132" s="735"/>
      <c r="Q132" s="732">
        <f>SUM(Q118:Q131)</f>
        <v>0</v>
      </c>
    </row>
    <row r="157" spans="4:4" ht="14.5">
      <c r="D157" s="840"/>
    </row>
  </sheetData>
  <mergeCells count="6">
    <mergeCell ref="B47:G47"/>
    <mergeCell ref="B18:U18"/>
    <mergeCell ref="B71:G71"/>
    <mergeCell ref="B93:G93"/>
    <mergeCell ref="B115:G115"/>
    <mergeCell ref="B23:G23"/>
  </mergeCells>
  <pageMargins left="0.7" right="0.7" top="0.75" bottom="0.75" header="0.3" footer="0.3"/>
  <pageSetup orientation="portrait" r:id="rId2"/>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20"/>
  <sheetViews>
    <sheetView workbookViewId="0" topLeftCell="A1">
      <pane xSplit="2" ySplit="4" topLeftCell="C155" activePane="bottomRight" state="frozen"/>
      <selection pane="topLeft" activeCell="D157" sqref="D157"/>
      <selection pane="bottomLeft" activeCell="D157" sqref="D157"/>
      <selection pane="topRight" activeCell="D157" sqref="D157"/>
      <selection pane="bottomRight" activeCell="D157" sqref="D157"/>
    </sheetView>
  </sheetViews>
  <sheetFormatPr defaultRowHeight="14.5"/>
  <cols>
    <col min="2" max="2" width="9.57142857142857" bestFit="1" customWidth="1"/>
    <col min="3" max="3" width="13.5714285714286" bestFit="1" customWidth="1"/>
    <col min="4" max="4" width="9.57142857142857" bestFit="1" customWidth="1"/>
    <col min="5" max="7" width="7" bestFit="1" customWidth="1"/>
    <col min="8" max="8" width="6" bestFit="1" customWidth="1"/>
    <col min="9" max="9" width="8.42857142857143" bestFit="1" customWidth="1"/>
    <col min="10" max="13" width="7" bestFit="1" customWidth="1"/>
    <col min="14" max="14" width="1.42857142857143" customWidth="1"/>
    <col min="15" max="15" width="5" bestFit="1" customWidth="1"/>
    <col min="16" max="18" width="6" bestFit="1" customWidth="1"/>
    <col min="19" max="20" width="5" bestFit="1" customWidth="1"/>
    <col min="21" max="23" width="6" bestFit="1" customWidth="1"/>
    <col min="24" max="24" width="5" bestFit="1" customWidth="1"/>
    <col min="25" max="27" width="6" bestFit="1" customWidth="1"/>
    <col min="28" max="29" width="5" bestFit="1" customWidth="1"/>
    <col min="30" max="31" width="6" bestFit="1" customWidth="1"/>
    <col min="32" max="32" width="0.857142857142857" customWidth="1"/>
    <col min="33" max="34" width="7.42857142857143" bestFit="1" customWidth="1"/>
    <col min="35" max="37" width="8.42857142857143" bestFit="1" customWidth="1"/>
    <col min="38" max="38" width="6.57142857142857" bestFit="1" customWidth="1"/>
    <col min="39" max="39" width="0" hidden="1" customWidth="1"/>
    <col min="41" max="41" width="10.4285714285714" bestFit="1" customWidth="1"/>
    <col min="42" max="42" width="13.1428571428571" customWidth="1"/>
  </cols>
  <sheetData>
    <row r="1" spans="4:6" ht="15" thickBot="1">
      <c r="D1" s="921"/>
      <c r="E1" s="921"/>
      <c r="F1" s="921"/>
    </row>
    <row r="2" spans="3:38" ht="15" thickBot="1">
      <c r="C2" t="s">
        <v>811</v>
      </c>
      <c r="D2" t="s">
        <v>808</v>
      </c>
      <c r="E2" s="922" t="s">
        <v>802</v>
      </c>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4"/>
      <c r="AG2" s="925" t="s">
        <v>803</v>
      </c>
      <c r="AH2" s="926"/>
      <c r="AI2" s="926"/>
      <c r="AJ2" s="926"/>
      <c r="AK2" s="926"/>
      <c r="AL2" s="927"/>
    </row>
    <row r="3" spans="1:38" ht="14.5">
      <c r="A3" s="627"/>
      <c r="B3" s="627"/>
      <c r="C3" s="627"/>
      <c r="D3" s="784" t="s">
        <v>804</v>
      </c>
      <c r="E3" s="785">
        <v>25</v>
      </c>
      <c r="F3" s="785">
        <v>36</v>
      </c>
      <c r="G3" s="785">
        <v>51</v>
      </c>
      <c r="H3" s="785">
        <v>52</v>
      </c>
      <c r="I3" s="785">
        <v>72</v>
      </c>
      <c r="J3" s="785">
        <v>75</v>
      </c>
      <c r="K3" s="785">
        <v>92</v>
      </c>
      <c r="L3" s="785">
        <v>103</v>
      </c>
      <c r="M3" s="785">
        <v>143</v>
      </c>
      <c r="N3" s="785"/>
      <c r="O3" s="785">
        <v>30</v>
      </c>
      <c r="P3" s="785">
        <v>42</v>
      </c>
      <c r="Q3" s="785">
        <v>51</v>
      </c>
      <c r="R3" s="785">
        <v>53</v>
      </c>
      <c r="S3" s="785">
        <v>60</v>
      </c>
      <c r="T3" s="785">
        <v>70</v>
      </c>
      <c r="U3" s="785">
        <v>71</v>
      </c>
      <c r="V3" s="785">
        <v>72</v>
      </c>
      <c r="W3" s="785">
        <v>75</v>
      </c>
      <c r="X3" s="785">
        <v>80</v>
      </c>
      <c r="Y3" s="785">
        <v>93</v>
      </c>
      <c r="Z3" s="785">
        <v>94</v>
      </c>
      <c r="AA3" s="785">
        <v>102</v>
      </c>
      <c r="AB3" s="785">
        <v>110</v>
      </c>
      <c r="AC3" s="785">
        <v>150</v>
      </c>
      <c r="AD3" s="785">
        <v>152</v>
      </c>
      <c r="AE3" s="785">
        <v>164</v>
      </c>
      <c r="AF3" s="636"/>
      <c r="AG3" s="786">
        <v>70</v>
      </c>
      <c r="AH3" s="786">
        <v>100</v>
      </c>
      <c r="AI3" s="786">
        <v>150</v>
      </c>
      <c r="AJ3" s="786">
        <v>175</v>
      </c>
      <c r="AK3" s="786">
        <v>200</v>
      </c>
      <c r="AL3" s="786">
        <v>250</v>
      </c>
    </row>
    <row r="4" spans="1:42" ht="29">
      <c r="A4" s="627"/>
      <c r="B4" s="627"/>
      <c r="C4" s="627"/>
      <c r="D4" s="784" t="s">
        <v>805</v>
      </c>
      <c r="E4" s="636">
        <f>E3</f>
        <v>25</v>
      </c>
      <c r="F4" s="636">
        <f t="shared" si="0" ref="F4:AE4">F3</f>
        <v>36</v>
      </c>
      <c r="G4" s="636">
        <f t="shared" si="0"/>
        <v>51</v>
      </c>
      <c r="H4" s="636">
        <f t="shared" si="0"/>
        <v>52</v>
      </c>
      <c r="I4" s="636">
        <f t="shared" si="0"/>
        <v>72</v>
      </c>
      <c r="J4" s="636">
        <f t="shared" si="0"/>
        <v>75</v>
      </c>
      <c r="K4" s="636">
        <f t="shared" si="0"/>
        <v>92</v>
      </c>
      <c r="L4" s="636">
        <f t="shared" si="0"/>
        <v>103</v>
      </c>
      <c r="M4" s="636">
        <f t="shared" si="0"/>
        <v>143</v>
      </c>
      <c r="N4" s="636"/>
      <c r="O4" s="636">
        <f t="shared" si="0"/>
        <v>30</v>
      </c>
      <c r="P4" s="636">
        <f t="shared" si="0"/>
        <v>42</v>
      </c>
      <c r="Q4" s="636">
        <f t="shared" si="0"/>
        <v>51</v>
      </c>
      <c r="R4" s="636">
        <f t="shared" si="0"/>
        <v>53</v>
      </c>
      <c r="S4" s="636">
        <f t="shared" si="0"/>
        <v>60</v>
      </c>
      <c r="T4" s="636">
        <f t="shared" si="0"/>
        <v>70</v>
      </c>
      <c r="U4" s="636">
        <f t="shared" si="0"/>
        <v>71</v>
      </c>
      <c r="V4" s="636">
        <f t="shared" si="0"/>
        <v>72</v>
      </c>
      <c r="W4" s="636">
        <f t="shared" si="0"/>
        <v>75</v>
      </c>
      <c r="X4" s="636">
        <f t="shared" si="0"/>
        <v>80</v>
      </c>
      <c r="Y4" s="636">
        <f t="shared" si="0"/>
        <v>93</v>
      </c>
      <c r="Z4" s="636">
        <f t="shared" si="0"/>
        <v>94</v>
      </c>
      <c r="AA4" s="636">
        <f t="shared" si="0"/>
        <v>102</v>
      </c>
      <c r="AB4" s="636">
        <v>110</v>
      </c>
      <c r="AC4" s="636">
        <f t="shared" si="0"/>
        <v>150</v>
      </c>
      <c r="AD4" s="636">
        <v>152</v>
      </c>
      <c r="AE4" s="636">
        <f t="shared" si="0"/>
        <v>164</v>
      </c>
      <c r="AF4" s="636"/>
      <c r="AG4" s="787">
        <v>100</v>
      </c>
      <c r="AH4" s="787">
        <v>135</v>
      </c>
      <c r="AI4" s="787">
        <v>190</v>
      </c>
      <c r="AJ4" s="787">
        <v>215</v>
      </c>
      <c r="AK4" s="787">
        <v>250</v>
      </c>
      <c r="AL4" s="787">
        <v>310</v>
      </c>
      <c r="AO4" t="s">
        <v>812</v>
      </c>
      <c r="AP4" t="s">
        <v>813</v>
      </c>
    </row>
    <row r="5" spans="1:42" ht="14.5">
      <c r="A5" s="920">
        <v>43831</v>
      </c>
      <c r="B5" s="788" t="s">
        <v>806</v>
      </c>
      <c r="C5" s="789">
        <f>SUM(E5:AL5)</f>
        <v>4595</v>
      </c>
      <c r="D5" s="789">
        <v>4846</v>
      </c>
      <c r="E5" s="789">
        <v>455</v>
      </c>
      <c r="F5" s="789">
        <f>2467-2</f>
        <v>2465</v>
      </c>
      <c r="G5" s="789">
        <v>268</v>
      </c>
      <c r="H5" s="789">
        <v>66</v>
      </c>
      <c r="I5" s="789">
        <f>410-67</f>
        <v>343</v>
      </c>
      <c r="J5" s="789">
        <f>179-8</f>
        <v>171</v>
      </c>
      <c r="K5" s="789">
        <v>125</v>
      </c>
      <c r="L5" s="789">
        <v>123</v>
      </c>
      <c r="M5" s="789">
        <v>290</v>
      </c>
      <c r="N5" s="790"/>
      <c r="O5" s="789">
        <v>29</v>
      </c>
      <c r="P5" s="789">
        <v>14</v>
      </c>
      <c r="Q5" s="789">
        <v>18</v>
      </c>
      <c r="R5" s="789">
        <v>3</v>
      </c>
      <c r="S5" s="789">
        <v>2</v>
      </c>
      <c r="T5" s="789">
        <v>47</v>
      </c>
      <c r="U5" s="789">
        <v>48</v>
      </c>
      <c r="V5" s="789">
        <v>13</v>
      </c>
      <c r="W5" s="789">
        <v>19</v>
      </c>
      <c r="X5" s="789">
        <v>34</v>
      </c>
      <c r="Y5" s="789">
        <v>23</v>
      </c>
      <c r="Z5" s="789">
        <v>2</v>
      </c>
      <c r="AA5" s="789">
        <v>7</v>
      </c>
      <c r="AB5" s="789"/>
      <c r="AC5" s="789">
        <v>3</v>
      </c>
      <c r="AD5" s="789"/>
      <c r="AE5" s="789">
        <v>1</v>
      </c>
      <c r="AF5" s="790"/>
      <c r="AG5" s="791">
        <v>0</v>
      </c>
      <c r="AH5" s="791">
        <v>0</v>
      </c>
      <c r="AI5" s="791">
        <v>0</v>
      </c>
      <c r="AJ5" s="791">
        <v>26</v>
      </c>
      <c r="AK5" s="791">
        <v>0</v>
      </c>
      <c r="AL5" s="791">
        <v>0</v>
      </c>
      <c r="AM5" s="792"/>
      <c r="AO5">
        <f t="shared" si="1" ref="AO5:AO67">SUM(AG5:AL5)</f>
        <v>26</v>
      </c>
      <c r="AP5">
        <f t="shared" si="2" ref="AP5:AP67">AO5-AO7</f>
        <v>0</v>
      </c>
    </row>
    <row r="6" spans="1:39" ht="14.5">
      <c r="A6" s="920"/>
      <c r="B6" s="793" t="s">
        <v>28</v>
      </c>
      <c r="C6" s="794">
        <f t="shared" si="3" ref="C6:C69">SUM(E6:AL6)</f>
        <v>244.05399999999997</v>
      </c>
      <c r="D6" s="794">
        <v>263.72499999999997</v>
      </c>
      <c r="E6" s="794">
        <f>E5*E$4/1000</f>
        <v>11.375</v>
      </c>
      <c r="F6" s="794">
        <f t="shared" si="4" ref="F6:AE6">F5*F$4/1000</f>
        <v>88.739999999999995</v>
      </c>
      <c r="G6" s="794">
        <f t="shared" si="4"/>
        <v>13.667999999999999</v>
      </c>
      <c r="H6" s="794">
        <f t="shared" si="4"/>
        <v>3.4319999999999999</v>
      </c>
      <c r="I6" s="794">
        <f t="shared" si="4"/>
        <v>24.696000000000002</v>
      </c>
      <c r="J6" s="794">
        <f t="shared" si="4"/>
        <v>12.824999999999999</v>
      </c>
      <c r="K6" s="794">
        <f t="shared" si="4"/>
        <v>11.5</v>
      </c>
      <c r="L6" s="794">
        <f t="shared" si="4"/>
        <v>12.669000000000001</v>
      </c>
      <c r="M6" s="794">
        <f t="shared" si="4"/>
        <v>41.469999999999999</v>
      </c>
      <c r="N6" s="794">
        <f t="shared" si="4"/>
        <v>0</v>
      </c>
      <c r="O6" s="794">
        <f t="shared" si="4"/>
        <v>0.87</v>
      </c>
      <c r="P6" s="794">
        <f t="shared" si="4"/>
        <v>0.58799999999999997</v>
      </c>
      <c r="Q6" s="794">
        <f t="shared" si="4"/>
        <v>0.91800000000000004</v>
      </c>
      <c r="R6" s="794">
        <f t="shared" si="4"/>
        <v>0.159</v>
      </c>
      <c r="S6" s="794">
        <f t="shared" si="4"/>
        <v>0.12</v>
      </c>
      <c r="T6" s="794">
        <f t="shared" si="4"/>
        <v>3.29</v>
      </c>
      <c r="U6" s="794">
        <f t="shared" si="4"/>
        <v>3.4079999999999999</v>
      </c>
      <c r="V6" s="794">
        <f t="shared" si="4"/>
        <v>0.93600000000000005</v>
      </c>
      <c r="W6" s="794">
        <f t="shared" si="4"/>
        <v>1.425</v>
      </c>
      <c r="X6" s="794">
        <f t="shared" si="4"/>
        <v>2.7200000000000002</v>
      </c>
      <c r="Y6" s="794">
        <f t="shared" si="4"/>
        <v>2.1389999999999998</v>
      </c>
      <c r="Z6" s="794">
        <f t="shared" si="4"/>
        <v>0.188</v>
      </c>
      <c r="AA6" s="794">
        <f t="shared" si="4"/>
        <v>0.71399999999999997</v>
      </c>
      <c r="AB6" s="794">
        <f t="shared" si="4"/>
        <v>0</v>
      </c>
      <c r="AC6" s="794">
        <f t="shared" si="4"/>
        <v>0.45000000000000001</v>
      </c>
      <c r="AD6" s="794">
        <f t="shared" si="4"/>
        <v>0</v>
      </c>
      <c r="AE6" s="794">
        <f t="shared" si="4"/>
        <v>0.16400000000000001</v>
      </c>
      <c r="AF6" s="790"/>
      <c r="AG6" s="794">
        <f t="shared" si="5" ref="AG6">AG5*AG$4/1000</f>
        <v>0</v>
      </c>
      <c r="AH6" s="794">
        <f t="shared" si="6" ref="AH6">AH5*AH$4/1000</f>
        <v>0</v>
      </c>
      <c r="AI6" s="794">
        <f t="shared" si="7" ref="AI6">AI5*AI$4/1000</f>
        <v>0</v>
      </c>
      <c r="AJ6" s="794">
        <f t="shared" si="8" ref="AJ6">AJ5*AJ$4/1000</f>
        <v>5.5899999999999999</v>
      </c>
      <c r="AK6" s="794">
        <f t="shared" si="9" ref="AK6">AK5*AK$4/1000</f>
        <v>0</v>
      </c>
      <c r="AL6" s="794">
        <f t="shared" si="10" ref="AL6">AL5*AL$4/1000</f>
        <v>0</v>
      </c>
      <c r="AM6" s="794">
        <f t="shared" si="11" ref="AM6">AM5*AM$4/1000</f>
        <v>0</v>
      </c>
    </row>
    <row r="7" spans="1:42" ht="14.5">
      <c r="A7" s="920">
        <v>43800</v>
      </c>
      <c r="B7" s="788" t="s">
        <v>806</v>
      </c>
      <c r="C7" s="789">
        <f t="shared" si="3"/>
        <v>4595</v>
      </c>
      <c r="D7" s="789">
        <v>4833</v>
      </c>
      <c r="E7" s="789">
        <v>455</v>
      </c>
      <c r="F7" s="789">
        <f>2467-2</f>
        <v>2465</v>
      </c>
      <c r="G7" s="789">
        <v>268</v>
      </c>
      <c r="H7" s="789">
        <v>66</v>
      </c>
      <c r="I7" s="789">
        <f>410-67</f>
        <v>343</v>
      </c>
      <c r="J7" s="789">
        <f>179-8</f>
        <v>171</v>
      </c>
      <c r="K7" s="789">
        <v>125</v>
      </c>
      <c r="L7" s="789">
        <v>123</v>
      </c>
      <c r="M7" s="789">
        <v>290</v>
      </c>
      <c r="N7" s="790"/>
      <c r="O7" s="789">
        <v>29</v>
      </c>
      <c r="P7" s="789">
        <v>14</v>
      </c>
      <c r="Q7" s="789">
        <v>18</v>
      </c>
      <c r="R7" s="789">
        <v>3</v>
      </c>
      <c r="S7" s="789">
        <v>2</v>
      </c>
      <c r="T7" s="789">
        <v>47</v>
      </c>
      <c r="U7" s="789">
        <v>48</v>
      </c>
      <c r="V7" s="789">
        <v>13</v>
      </c>
      <c r="W7" s="789">
        <v>19</v>
      </c>
      <c r="X7" s="789">
        <v>34</v>
      </c>
      <c r="Y7" s="789">
        <v>23</v>
      </c>
      <c r="Z7" s="789">
        <v>2</v>
      </c>
      <c r="AA7" s="789">
        <v>7</v>
      </c>
      <c r="AB7" s="789"/>
      <c r="AC7" s="789">
        <v>3</v>
      </c>
      <c r="AD7" s="789"/>
      <c r="AE7" s="789">
        <v>1</v>
      </c>
      <c r="AF7" s="790"/>
      <c r="AG7" s="791">
        <v>0</v>
      </c>
      <c r="AH7" s="791">
        <v>0</v>
      </c>
      <c r="AI7" s="791">
        <v>0</v>
      </c>
      <c r="AJ7" s="791">
        <v>26</v>
      </c>
      <c r="AK7" s="791">
        <v>0</v>
      </c>
      <c r="AL7" s="791">
        <v>0</v>
      </c>
      <c r="AO7">
        <f t="shared" si="1"/>
        <v>26</v>
      </c>
      <c r="AP7">
        <f t="shared" si="2"/>
        <v>0</v>
      </c>
    </row>
    <row r="8" spans="1:39" ht="14.5">
      <c r="A8" s="920"/>
      <c r="B8" s="793" t="s">
        <v>28</v>
      </c>
      <c r="C8" s="794">
        <f t="shared" si="3"/>
        <v>244.05399999999997</v>
      </c>
      <c r="D8" s="794">
        <v>262.15100000000001</v>
      </c>
      <c r="E8" s="794">
        <f>E7*E$4/1000</f>
        <v>11.375</v>
      </c>
      <c r="F8" s="794">
        <f t="shared" si="12" ref="F8">F7*F$4/1000</f>
        <v>88.739999999999995</v>
      </c>
      <c r="G8" s="794">
        <f t="shared" si="13" ref="G8">G7*G$4/1000</f>
        <v>13.667999999999999</v>
      </c>
      <c r="H8" s="794">
        <f t="shared" si="14" ref="H8">H7*H$4/1000</f>
        <v>3.4319999999999999</v>
      </c>
      <c r="I8" s="794">
        <f t="shared" si="15" ref="I8">I7*I$4/1000</f>
        <v>24.696000000000002</v>
      </c>
      <c r="J8" s="794">
        <f t="shared" si="16" ref="J8">J7*J$4/1000</f>
        <v>12.824999999999999</v>
      </c>
      <c r="K8" s="794">
        <f t="shared" si="17" ref="K8">K7*K$4/1000</f>
        <v>11.5</v>
      </c>
      <c r="L8" s="794">
        <f t="shared" si="18" ref="L8">L7*L$4/1000</f>
        <v>12.669000000000001</v>
      </c>
      <c r="M8" s="794">
        <f t="shared" si="19" ref="M8">M7*M$4/1000</f>
        <v>41.469999999999999</v>
      </c>
      <c r="N8" s="794">
        <f t="shared" si="20" ref="N8">N7*N$4/1000</f>
        <v>0</v>
      </c>
      <c r="O8" s="794">
        <f t="shared" si="21" ref="O8">O7*O$4/1000</f>
        <v>0.87</v>
      </c>
      <c r="P8" s="794">
        <f t="shared" si="22" ref="P8">P7*P$4/1000</f>
        <v>0.58799999999999997</v>
      </c>
      <c r="Q8" s="794">
        <f t="shared" si="23" ref="Q8">Q7*Q$4/1000</f>
        <v>0.91800000000000004</v>
      </c>
      <c r="R8" s="794">
        <f t="shared" si="24" ref="R8">R7*R$4/1000</f>
        <v>0.159</v>
      </c>
      <c r="S8" s="794">
        <f t="shared" si="25" ref="S8">S7*S$4/1000</f>
        <v>0.12</v>
      </c>
      <c r="T8" s="794">
        <f t="shared" si="26" ref="T8">T7*T$4/1000</f>
        <v>3.29</v>
      </c>
      <c r="U8" s="794">
        <f t="shared" si="27" ref="U8">U7*U$4/1000</f>
        <v>3.4079999999999999</v>
      </c>
      <c r="V8" s="794">
        <f t="shared" si="28" ref="V8">V7*V$4/1000</f>
        <v>0.93600000000000005</v>
      </c>
      <c r="W8" s="794">
        <f t="shared" si="29" ref="W8">W7*W$4/1000</f>
        <v>1.425</v>
      </c>
      <c r="X8" s="794">
        <f t="shared" si="30" ref="X8">X7*X$4/1000</f>
        <v>2.7200000000000002</v>
      </c>
      <c r="Y8" s="794">
        <f t="shared" si="31" ref="Y8">Y7*Y$4/1000</f>
        <v>2.1389999999999998</v>
      </c>
      <c r="Z8" s="794">
        <f t="shared" si="32" ref="Z8">Z7*Z$4/1000</f>
        <v>0.188</v>
      </c>
      <c r="AA8" s="794">
        <f t="shared" si="33" ref="AA8">AA7*AA$4/1000</f>
        <v>0.71399999999999997</v>
      </c>
      <c r="AB8" s="794">
        <f t="shared" si="34" ref="AB8">AB7*AB$4/1000</f>
        <v>0</v>
      </c>
      <c r="AC8" s="794">
        <f t="shared" si="35" ref="AC8">AC7*AC$4/1000</f>
        <v>0.45000000000000001</v>
      </c>
      <c r="AD8" s="794">
        <f t="shared" si="36" ref="AD8">AD7*AD$4/1000</f>
        <v>0</v>
      </c>
      <c r="AE8" s="794">
        <f t="shared" si="37" ref="AE8">AE7*AE$4/1000</f>
        <v>0.16400000000000001</v>
      </c>
      <c r="AF8" s="790"/>
      <c r="AG8" s="794">
        <f t="shared" si="38" ref="AG8">AG7*AG$4/1000</f>
        <v>0</v>
      </c>
      <c r="AH8" s="794">
        <f t="shared" si="39" ref="AH8">AH7*AH$4/1000</f>
        <v>0</v>
      </c>
      <c r="AI8" s="794">
        <f t="shared" si="40" ref="AI8">AI7*AI$4/1000</f>
        <v>0</v>
      </c>
      <c r="AJ8" s="794">
        <f t="shared" si="41" ref="AJ8">AJ7*AJ$4/1000</f>
        <v>5.5899999999999999</v>
      </c>
      <c r="AK8" s="794">
        <f t="shared" si="42" ref="AK8">AK7*AK$4/1000</f>
        <v>0</v>
      </c>
      <c r="AL8" s="794">
        <f t="shared" si="43" ref="AL8">AL7*AL$4/1000</f>
        <v>0</v>
      </c>
      <c r="AM8" s="794">
        <f t="shared" si="44" ref="AM8">AM7*AM$4/1000</f>
        <v>0</v>
      </c>
    </row>
    <row r="9" spans="1:42" ht="14.5">
      <c r="A9" s="920">
        <v>43770</v>
      </c>
      <c r="B9" s="788" t="s">
        <v>806</v>
      </c>
      <c r="C9" s="789">
        <f t="shared" si="3"/>
        <v>4595</v>
      </c>
      <c r="D9" s="789">
        <v>4830</v>
      </c>
      <c r="E9" s="789">
        <v>455</v>
      </c>
      <c r="F9" s="789">
        <f>2467-2</f>
        <v>2465</v>
      </c>
      <c r="G9" s="789">
        <v>268</v>
      </c>
      <c r="H9" s="789">
        <v>66</v>
      </c>
      <c r="I9" s="789">
        <f>410-67</f>
        <v>343</v>
      </c>
      <c r="J9" s="789">
        <f>179-8</f>
        <v>171</v>
      </c>
      <c r="K9" s="789">
        <v>125</v>
      </c>
      <c r="L9" s="789">
        <v>123</v>
      </c>
      <c r="M9" s="789">
        <v>290</v>
      </c>
      <c r="N9" s="790"/>
      <c r="O9" s="789">
        <v>29</v>
      </c>
      <c r="P9" s="789">
        <v>14</v>
      </c>
      <c r="Q9" s="789">
        <v>18</v>
      </c>
      <c r="R9" s="789">
        <v>3</v>
      </c>
      <c r="S9" s="789">
        <v>2</v>
      </c>
      <c r="T9" s="789">
        <v>47</v>
      </c>
      <c r="U9" s="789">
        <v>48</v>
      </c>
      <c r="V9" s="789">
        <v>13</v>
      </c>
      <c r="W9" s="789">
        <v>19</v>
      </c>
      <c r="X9" s="789">
        <v>34</v>
      </c>
      <c r="Y9" s="789">
        <v>23</v>
      </c>
      <c r="Z9" s="789">
        <v>2</v>
      </c>
      <c r="AA9" s="789">
        <v>7</v>
      </c>
      <c r="AB9" s="789"/>
      <c r="AC9" s="789">
        <v>3</v>
      </c>
      <c r="AD9" s="789"/>
      <c r="AE9" s="789">
        <v>1</v>
      </c>
      <c r="AF9" s="790"/>
      <c r="AG9" s="791">
        <v>0</v>
      </c>
      <c r="AH9" s="791">
        <v>0</v>
      </c>
      <c r="AI9" s="791">
        <v>0</v>
      </c>
      <c r="AJ9" s="791">
        <v>26</v>
      </c>
      <c r="AK9" s="791">
        <v>0</v>
      </c>
      <c r="AL9" s="791">
        <v>0</v>
      </c>
      <c r="AO9">
        <f t="shared" si="1"/>
        <v>26</v>
      </c>
      <c r="AP9">
        <f t="shared" si="2"/>
        <v>0</v>
      </c>
    </row>
    <row r="10" spans="1:39" ht="14.5">
      <c r="A10" s="920"/>
      <c r="B10" s="793" t="s">
        <v>28</v>
      </c>
      <c r="C10" s="794">
        <f t="shared" si="3"/>
        <v>244.05399999999997</v>
      </c>
      <c r="D10" s="794">
        <v>261.86599999999999</v>
      </c>
      <c r="E10" s="794">
        <f>E9*E$4/1000</f>
        <v>11.375</v>
      </c>
      <c r="F10" s="794">
        <f t="shared" si="45" ref="F10">F9*F$4/1000</f>
        <v>88.739999999999995</v>
      </c>
      <c r="G10" s="794">
        <f t="shared" si="46" ref="G10">G9*G$4/1000</f>
        <v>13.667999999999999</v>
      </c>
      <c r="H10" s="794">
        <f t="shared" si="47" ref="H10">H9*H$4/1000</f>
        <v>3.4319999999999999</v>
      </c>
      <c r="I10" s="794">
        <f t="shared" si="48" ref="I10">I9*I$4/1000</f>
        <v>24.696000000000002</v>
      </c>
      <c r="J10" s="794">
        <f t="shared" si="49" ref="J10">J9*J$4/1000</f>
        <v>12.824999999999999</v>
      </c>
      <c r="K10" s="794">
        <f t="shared" si="50" ref="K10">K9*K$4/1000</f>
        <v>11.5</v>
      </c>
      <c r="L10" s="794">
        <f t="shared" si="51" ref="L10">L9*L$4/1000</f>
        <v>12.669000000000001</v>
      </c>
      <c r="M10" s="794">
        <f t="shared" si="52" ref="M10">M9*M$4/1000</f>
        <v>41.469999999999999</v>
      </c>
      <c r="N10" s="794">
        <f t="shared" si="53" ref="N10">N9*N$4/1000</f>
        <v>0</v>
      </c>
      <c r="O10" s="794">
        <f t="shared" si="54" ref="O10">O9*O$4/1000</f>
        <v>0.87</v>
      </c>
      <c r="P10" s="794">
        <f t="shared" si="55" ref="P10">P9*P$4/1000</f>
        <v>0.58799999999999997</v>
      </c>
      <c r="Q10" s="794">
        <f t="shared" si="56" ref="Q10">Q9*Q$4/1000</f>
        <v>0.91800000000000004</v>
      </c>
      <c r="R10" s="794">
        <f t="shared" si="57" ref="R10">R9*R$4/1000</f>
        <v>0.159</v>
      </c>
      <c r="S10" s="794">
        <f t="shared" si="58" ref="S10">S9*S$4/1000</f>
        <v>0.12</v>
      </c>
      <c r="T10" s="794">
        <f t="shared" si="59" ref="T10">T9*T$4/1000</f>
        <v>3.29</v>
      </c>
      <c r="U10" s="794">
        <f t="shared" si="60" ref="U10">U9*U$4/1000</f>
        <v>3.4079999999999999</v>
      </c>
      <c r="V10" s="794">
        <f t="shared" si="61" ref="V10">V9*V$4/1000</f>
        <v>0.93600000000000005</v>
      </c>
      <c r="W10" s="794">
        <f t="shared" si="62" ref="W10">W9*W$4/1000</f>
        <v>1.425</v>
      </c>
      <c r="X10" s="794">
        <f t="shared" si="63" ref="X10">X9*X$4/1000</f>
        <v>2.7200000000000002</v>
      </c>
      <c r="Y10" s="794">
        <f t="shared" si="64" ref="Y10">Y9*Y$4/1000</f>
        <v>2.1389999999999998</v>
      </c>
      <c r="Z10" s="794">
        <f t="shared" si="65" ref="Z10">Z9*Z$4/1000</f>
        <v>0.188</v>
      </c>
      <c r="AA10" s="794">
        <f t="shared" si="66" ref="AA10">AA9*AA$4/1000</f>
        <v>0.71399999999999997</v>
      </c>
      <c r="AB10" s="794">
        <f t="shared" si="67" ref="AB10">AB9*AB$4/1000</f>
        <v>0</v>
      </c>
      <c r="AC10" s="794">
        <f t="shared" si="68" ref="AC10">AC9*AC$4/1000</f>
        <v>0.45000000000000001</v>
      </c>
      <c r="AD10" s="794">
        <f t="shared" si="69" ref="AD10">AD9*AD$4/1000</f>
        <v>0</v>
      </c>
      <c r="AE10" s="794">
        <f t="shared" si="70" ref="AE10">AE9*AE$4/1000</f>
        <v>0.16400000000000001</v>
      </c>
      <c r="AF10" s="790"/>
      <c r="AG10" s="794">
        <f t="shared" si="71" ref="AG10">AG9*AG$4/1000</f>
        <v>0</v>
      </c>
      <c r="AH10" s="794">
        <f t="shared" si="72" ref="AH10">AH9*AH$4/1000</f>
        <v>0</v>
      </c>
      <c r="AI10" s="794">
        <f t="shared" si="73" ref="AI10">AI9*AI$4/1000</f>
        <v>0</v>
      </c>
      <c r="AJ10" s="794">
        <f t="shared" si="74" ref="AJ10">AJ9*AJ$4/1000</f>
        <v>5.5899999999999999</v>
      </c>
      <c r="AK10" s="794">
        <f t="shared" si="75" ref="AK10">AK9*AK$4/1000</f>
        <v>0</v>
      </c>
      <c r="AL10" s="794">
        <f t="shared" si="76" ref="AL10">AL9*AL$4/1000</f>
        <v>0</v>
      </c>
      <c r="AM10" s="794">
        <f t="shared" si="77" ref="AM10">AM9*AM$4/1000</f>
        <v>0</v>
      </c>
    </row>
    <row r="11" spans="1:42" ht="14.5">
      <c r="A11" s="918">
        <v>43739</v>
      </c>
      <c r="B11" s="788" t="s">
        <v>806</v>
      </c>
      <c r="C11" s="789">
        <f t="shared" si="3"/>
        <v>4595</v>
      </c>
      <c r="D11" s="789">
        <v>4830</v>
      </c>
      <c r="E11" s="789">
        <v>455</v>
      </c>
      <c r="F11" s="789">
        <f>2467-2</f>
        <v>2465</v>
      </c>
      <c r="G11" s="789">
        <v>268</v>
      </c>
      <c r="H11" s="789">
        <v>66</v>
      </c>
      <c r="I11" s="789">
        <f>410-67</f>
        <v>343</v>
      </c>
      <c r="J11" s="789">
        <f>179-8</f>
        <v>171</v>
      </c>
      <c r="K11" s="789">
        <v>125</v>
      </c>
      <c r="L11" s="789">
        <v>123</v>
      </c>
      <c r="M11" s="789">
        <v>290</v>
      </c>
      <c r="N11" s="790"/>
      <c r="O11" s="789">
        <v>29</v>
      </c>
      <c r="P11" s="789">
        <v>14</v>
      </c>
      <c r="Q11" s="789">
        <v>18</v>
      </c>
      <c r="R11" s="789">
        <v>3</v>
      </c>
      <c r="S11" s="789">
        <v>2</v>
      </c>
      <c r="T11" s="789">
        <v>47</v>
      </c>
      <c r="U11" s="789">
        <v>48</v>
      </c>
      <c r="V11" s="789">
        <v>13</v>
      </c>
      <c r="W11" s="789">
        <v>19</v>
      </c>
      <c r="X11" s="789">
        <v>34</v>
      </c>
      <c r="Y11" s="789">
        <v>23</v>
      </c>
      <c r="Z11" s="789">
        <v>2</v>
      </c>
      <c r="AA11" s="789">
        <v>7</v>
      </c>
      <c r="AB11" s="789"/>
      <c r="AC11" s="789">
        <v>3</v>
      </c>
      <c r="AD11" s="789"/>
      <c r="AE11" s="789">
        <v>1</v>
      </c>
      <c r="AF11" s="790"/>
      <c r="AG11" s="791">
        <v>0</v>
      </c>
      <c r="AH11" s="791">
        <v>0</v>
      </c>
      <c r="AI11" s="791">
        <v>0</v>
      </c>
      <c r="AJ11" s="791">
        <v>26</v>
      </c>
      <c r="AK11" s="791">
        <v>0</v>
      </c>
      <c r="AL11" s="791">
        <v>0</v>
      </c>
      <c r="AO11">
        <f t="shared" si="1"/>
        <v>26</v>
      </c>
      <c r="AP11">
        <f t="shared" si="2"/>
        <v>0</v>
      </c>
    </row>
    <row r="12" spans="1:39" ht="14.5">
      <c r="A12" s="919"/>
      <c r="B12" s="793" t="s">
        <v>28</v>
      </c>
      <c r="C12" s="794">
        <f t="shared" si="3"/>
        <v>244.05399999999997</v>
      </c>
      <c r="D12" s="794">
        <v>261.86599999999999</v>
      </c>
      <c r="E12" s="794">
        <f>E11*E$4/1000</f>
        <v>11.375</v>
      </c>
      <c r="F12" s="794">
        <f t="shared" si="78" ref="F12">F11*F$4/1000</f>
        <v>88.739999999999995</v>
      </c>
      <c r="G12" s="794">
        <f t="shared" si="79" ref="G12">G11*G$4/1000</f>
        <v>13.667999999999999</v>
      </c>
      <c r="H12" s="794">
        <f t="shared" si="80" ref="H12">H11*H$4/1000</f>
        <v>3.4319999999999999</v>
      </c>
      <c r="I12" s="794">
        <f t="shared" si="81" ref="I12">I11*I$4/1000</f>
        <v>24.696000000000002</v>
      </c>
      <c r="J12" s="794">
        <f t="shared" si="82" ref="J12">J11*J$4/1000</f>
        <v>12.824999999999999</v>
      </c>
      <c r="K12" s="794">
        <f t="shared" si="83" ref="K12">K11*K$4/1000</f>
        <v>11.5</v>
      </c>
      <c r="L12" s="794">
        <f t="shared" si="84" ref="L12">L11*L$4/1000</f>
        <v>12.669000000000001</v>
      </c>
      <c r="M12" s="794">
        <f t="shared" si="85" ref="M12">M11*M$4/1000</f>
        <v>41.469999999999999</v>
      </c>
      <c r="N12" s="794">
        <f t="shared" si="86" ref="N12">N11*N$4/1000</f>
        <v>0</v>
      </c>
      <c r="O12" s="794">
        <f t="shared" si="87" ref="O12">O11*O$4/1000</f>
        <v>0.87</v>
      </c>
      <c r="P12" s="794">
        <f t="shared" si="88" ref="P12">P11*P$4/1000</f>
        <v>0.58799999999999997</v>
      </c>
      <c r="Q12" s="794">
        <f t="shared" si="89" ref="Q12">Q11*Q$4/1000</f>
        <v>0.91800000000000004</v>
      </c>
      <c r="R12" s="794">
        <f t="shared" si="90" ref="R12">R11*R$4/1000</f>
        <v>0.159</v>
      </c>
      <c r="S12" s="794">
        <f t="shared" si="91" ref="S12">S11*S$4/1000</f>
        <v>0.12</v>
      </c>
      <c r="T12" s="794">
        <f t="shared" si="92" ref="T12">T11*T$4/1000</f>
        <v>3.29</v>
      </c>
      <c r="U12" s="794">
        <f t="shared" si="93" ref="U12">U11*U$4/1000</f>
        <v>3.4079999999999999</v>
      </c>
      <c r="V12" s="794">
        <f t="shared" si="94" ref="V12">V11*V$4/1000</f>
        <v>0.93600000000000005</v>
      </c>
      <c r="W12" s="794">
        <f t="shared" si="95" ref="W12">W11*W$4/1000</f>
        <v>1.425</v>
      </c>
      <c r="X12" s="794">
        <f t="shared" si="96" ref="X12">X11*X$4/1000</f>
        <v>2.7200000000000002</v>
      </c>
      <c r="Y12" s="794">
        <f t="shared" si="97" ref="Y12">Y11*Y$4/1000</f>
        <v>2.1389999999999998</v>
      </c>
      <c r="Z12" s="794">
        <f t="shared" si="98" ref="Z12">Z11*Z$4/1000</f>
        <v>0.188</v>
      </c>
      <c r="AA12" s="794">
        <f t="shared" si="99" ref="AA12">AA11*AA$4/1000</f>
        <v>0.71399999999999997</v>
      </c>
      <c r="AB12" s="794">
        <f t="shared" si="100" ref="AB12">AB11*AB$4/1000</f>
        <v>0</v>
      </c>
      <c r="AC12" s="794">
        <f t="shared" si="101" ref="AC12">AC11*AC$4/1000</f>
        <v>0.45000000000000001</v>
      </c>
      <c r="AD12" s="794">
        <f t="shared" si="102" ref="AD12">AD11*AD$4/1000</f>
        <v>0</v>
      </c>
      <c r="AE12" s="794">
        <f t="shared" si="103" ref="AE12">AE11*AE$4/1000</f>
        <v>0.16400000000000001</v>
      </c>
      <c r="AF12" s="790"/>
      <c r="AG12" s="794">
        <f t="shared" si="104" ref="AG12">AG11*AG$4/1000</f>
        <v>0</v>
      </c>
      <c r="AH12" s="794">
        <f t="shared" si="105" ref="AH12">AH11*AH$4/1000</f>
        <v>0</v>
      </c>
      <c r="AI12" s="794">
        <f t="shared" si="106" ref="AI12">AI11*AI$4/1000</f>
        <v>0</v>
      </c>
      <c r="AJ12" s="794">
        <f t="shared" si="107" ref="AJ12">AJ11*AJ$4/1000</f>
        <v>5.5899999999999999</v>
      </c>
      <c r="AK12" s="794">
        <f t="shared" si="108" ref="AK12">AK11*AK$4/1000</f>
        <v>0</v>
      </c>
      <c r="AL12" s="794">
        <f t="shared" si="109" ref="AL12">AL11*AL$4/1000</f>
        <v>0</v>
      </c>
      <c r="AM12" s="794">
        <f t="shared" si="110" ref="AM12">AM11*AM$4/1000</f>
        <v>0</v>
      </c>
    </row>
    <row r="13" spans="1:42" ht="14.5">
      <c r="A13" s="918">
        <v>43709</v>
      </c>
      <c r="B13" s="788" t="s">
        <v>806</v>
      </c>
      <c r="C13" s="789">
        <f t="shared" si="3"/>
        <v>4595</v>
      </c>
      <c r="D13" s="789">
        <v>4806</v>
      </c>
      <c r="E13" s="789">
        <v>455</v>
      </c>
      <c r="F13" s="789">
        <f>2467-2</f>
        <v>2465</v>
      </c>
      <c r="G13" s="789">
        <v>268</v>
      </c>
      <c r="H13" s="789">
        <v>66</v>
      </c>
      <c r="I13" s="789">
        <f>410-67</f>
        <v>343</v>
      </c>
      <c r="J13" s="789">
        <f>179-8</f>
        <v>171</v>
      </c>
      <c r="K13" s="789">
        <v>125</v>
      </c>
      <c r="L13" s="789">
        <v>123</v>
      </c>
      <c r="M13" s="789">
        <v>290</v>
      </c>
      <c r="N13" s="790"/>
      <c r="O13" s="789">
        <v>29</v>
      </c>
      <c r="P13" s="789">
        <v>14</v>
      </c>
      <c r="Q13" s="789">
        <v>18</v>
      </c>
      <c r="R13" s="789">
        <v>3</v>
      </c>
      <c r="S13" s="789">
        <v>2</v>
      </c>
      <c r="T13" s="789">
        <v>47</v>
      </c>
      <c r="U13" s="789">
        <v>48</v>
      </c>
      <c r="V13" s="789">
        <v>13</v>
      </c>
      <c r="W13" s="789">
        <v>19</v>
      </c>
      <c r="X13" s="789">
        <v>34</v>
      </c>
      <c r="Y13" s="789">
        <v>23</v>
      </c>
      <c r="Z13" s="789">
        <v>2</v>
      </c>
      <c r="AA13" s="789">
        <v>7</v>
      </c>
      <c r="AB13" s="789"/>
      <c r="AC13" s="789">
        <v>3</v>
      </c>
      <c r="AD13" s="789"/>
      <c r="AE13" s="789">
        <v>1</v>
      </c>
      <c r="AF13" s="790"/>
      <c r="AG13" s="791">
        <v>0</v>
      </c>
      <c r="AH13" s="791">
        <v>0</v>
      </c>
      <c r="AI13" s="791">
        <v>0</v>
      </c>
      <c r="AJ13" s="791">
        <v>26</v>
      </c>
      <c r="AK13" s="791">
        <v>0</v>
      </c>
      <c r="AL13" s="791">
        <v>0</v>
      </c>
      <c r="AO13">
        <f t="shared" si="1"/>
        <v>26</v>
      </c>
      <c r="AP13">
        <f t="shared" si="2"/>
        <v>0</v>
      </c>
    </row>
    <row r="14" spans="1:39" ht="14.5">
      <c r="A14" s="919"/>
      <c r="B14" s="793" t="s">
        <v>28</v>
      </c>
      <c r="C14" s="794">
        <f t="shared" si="3"/>
        <v>244.05399999999997</v>
      </c>
      <c r="D14" s="794">
        <v>259.69</v>
      </c>
      <c r="E14" s="794">
        <f>E13*E$4/1000</f>
        <v>11.375</v>
      </c>
      <c r="F14" s="794">
        <f t="shared" si="111" ref="F14">F13*F$4/1000</f>
        <v>88.739999999999995</v>
      </c>
      <c r="G14" s="794">
        <f t="shared" si="112" ref="G14">G13*G$4/1000</f>
        <v>13.667999999999999</v>
      </c>
      <c r="H14" s="794">
        <f t="shared" si="113" ref="H14">H13*H$4/1000</f>
        <v>3.4319999999999999</v>
      </c>
      <c r="I14" s="794">
        <f t="shared" si="114" ref="I14">I13*I$4/1000</f>
        <v>24.696000000000002</v>
      </c>
      <c r="J14" s="794">
        <f t="shared" si="115" ref="J14">J13*J$4/1000</f>
        <v>12.824999999999999</v>
      </c>
      <c r="K14" s="794">
        <f t="shared" si="116" ref="K14">K13*K$4/1000</f>
        <v>11.5</v>
      </c>
      <c r="L14" s="794">
        <f t="shared" si="117" ref="L14">L13*L$4/1000</f>
        <v>12.669000000000001</v>
      </c>
      <c r="M14" s="794">
        <f t="shared" si="118" ref="M14">M13*M$4/1000</f>
        <v>41.469999999999999</v>
      </c>
      <c r="N14" s="794">
        <f t="shared" si="119" ref="N14">N13*N$4/1000</f>
        <v>0</v>
      </c>
      <c r="O14" s="794">
        <f t="shared" si="120" ref="O14">O13*O$4/1000</f>
        <v>0.87</v>
      </c>
      <c r="P14" s="794">
        <f t="shared" si="121" ref="P14">P13*P$4/1000</f>
        <v>0.58799999999999997</v>
      </c>
      <c r="Q14" s="794">
        <f t="shared" si="122" ref="Q14">Q13*Q$4/1000</f>
        <v>0.91800000000000004</v>
      </c>
      <c r="R14" s="794">
        <f t="shared" si="123" ref="R14">R13*R$4/1000</f>
        <v>0.159</v>
      </c>
      <c r="S14" s="794">
        <f t="shared" si="124" ref="S14">S13*S$4/1000</f>
        <v>0.12</v>
      </c>
      <c r="T14" s="794">
        <f t="shared" si="125" ref="T14">T13*T$4/1000</f>
        <v>3.29</v>
      </c>
      <c r="U14" s="794">
        <f t="shared" si="126" ref="U14">U13*U$4/1000</f>
        <v>3.4079999999999999</v>
      </c>
      <c r="V14" s="794">
        <f t="shared" si="127" ref="V14">V13*V$4/1000</f>
        <v>0.93600000000000005</v>
      </c>
      <c r="W14" s="794">
        <f t="shared" si="128" ref="W14">W13*W$4/1000</f>
        <v>1.425</v>
      </c>
      <c r="X14" s="794">
        <f t="shared" si="129" ref="X14">X13*X$4/1000</f>
        <v>2.7200000000000002</v>
      </c>
      <c r="Y14" s="794">
        <f t="shared" si="130" ref="Y14">Y13*Y$4/1000</f>
        <v>2.1389999999999998</v>
      </c>
      <c r="Z14" s="794">
        <f t="shared" si="131" ref="Z14">Z13*Z$4/1000</f>
        <v>0.188</v>
      </c>
      <c r="AA14" s="794">
        <f t="shared" si="132" ref="AA14">AA13*AA$4/1000</f>
        <v>0.71399999999999997</v>
      </c>
      <c r="AB14" s="794">
        <f t="shared" si="133" ref="AB14">AB13*AB$4/1000</f>
        <v>0</v>
      </c>
      <c r="AC14" s="794">
        <f t="shared" si="134" ref="AC14">AC13*AC$4/1000</f>
        <v>0.45000000000000001</v>
      </c>
      <c r="AD14" s="794">
        <f t="shared" si="135" ref="AD14">AD13*AD$4/1000</f>
        <v>0</v>
      </c>
      <c r="AE14" s="794">
        <f t="shared" si="136" ref="AE14">AE13*AE$4/1000</f>
        <v>0.16400000000000001</v>
      </c>
      <c r="AF14" s="790"/>
      <c r="AG14" s="794">
        <f t="shared" si="137" ref="AG14">AG13*AG$4/1000</f>
        <v>0</v>
      </c>
      <c r="AH14" s="794">
        <f t="shared" si="138" ref="AH14">AH13*AH$4/1000</f>
        <v>0</v>
      </c>
      <c r="AI14" s="794">
        <f t="shared" si="139" ref="AI14">AI13*AI$4/1000</f>
        <v>0</v>
      </c>
      <c r="AJ14" s="794">
        <f t="shared" si="140" ref="AJ14">AJ13*AJ$4/1000</f>
        <v>5.5899999999999999</v>
      </c>
      <c r="AK14" s="794">
        <f t="shared" si="141" ref="AK14">AK13*AK$4/1000</f>
        <v>0</v>
      </c>
      <c r="AL14" s="794">
        <f t="shared" si="142" ref="AL14">AL13*AL$4/1000</f>
        <v>0</v>
      </c>
      <c r="AM14" s="794">
        <f t="shared" si="143" ref="AM14">AM13*AM$4/1000</f>
        <v>0</v>
      </c>
    </row>
    <row r="15" spans="1:42" ht="14.5">
      <c r="A15" s="918">
        <v>43678</v>
      </c>
      <c r="B15" s="788" t="s">
        <v>806</v>
      </c>
      <c r="C15" s="789">
        <f t="shared" si="3"/>
        <v>4595</v>
      </c>
      <c r="D15" s="789">
        <v>4789</v>
      </c>
      <c r="E15" s="789">
        <v>455</v>
      </c>
      <c r="F15" s="789">
        <f>2467-2</f>
        <v>2465</v>
      </c>
      <c r="G15" s="789">
        <v>268</v>
      </c>
      <c r="H15" s="789">
        <v>66</v>
      </c>
      <c r="I15" s="789">
        <f>410-67</f>
        <v>343</v>
      </c>
      <c r="J15" s="789">
        <f>179-8</f>
        <v>171</v>
      </c>
      <c r="K15" s="789">
        <v>125</v>
      </c>
      <c r="L15" s="789">
        <v>123</v>
      </c>
      <c r="M15" s="789">
        <v>290</v>
      </c>
      <c r="N15" s="790"/>
      <c r="O15" s="789">
        <v>29</v>
      </c>
      <c r="P15" s="789">
        <v>14</v>
      </c>
      <c r="Q15" s="789">
        <v>18</v>
      </c>
      <c r="R15" s="789">
        <v>3</v>
      </c>
      <c r="S15" s="789">
        <v>2</v>
      </c>
      <c r="T15" s="789">
        <v>47</v>
      </c>
      <c r="U15" s="789">
        <v>48</v>
      </c>
      <c r="V15" s="789">
        <v>13</v>
      </c>
      <c r="W15" s="789">
        <v>19</v>
      </c>
      <c r="X15" s="789">
        <v>34</v>
      </c>
      <c r="Y15" s="789">
        <v>23</v>
      </c>
      <c r="Z15" s="789">
        <v>2</v>
      </c>
      <c r="AA15" s="789">
        <v>7</v>
      </c>
      <c r="AB15" s="789"/>
      <c r="AC15" s="789">
        <v>3</v>
      </c>
      <c r="AD15" s="789"/>
      <c r="AE15" s="789">
        <v>1</v>
      </c>
      <c r="AF15" s="790"/>
      <c r="AG15" s="791">
        <v>0</v>
      </c>
      <c r="AH15" s="791">
        <v>0</v>
      </c>
      <c r="AI15" s="791">
        <v>0</v>
      </c>
      <c r="AJ15" s="791">
        <v>26</v>
      </c>
      <c r="AK15" s="791">
        <v>0</v>
      </c>
      <c r="AL15" s="791">
        <v>0</v>
      </c>
      <c r="AO15">
        <f t="shared" si="1"/>
        <v>26</v>
      </c>
      <c r="AP15">
        <f t="shared" si="2"/>
        <v>0</v>
      </c>
    </row>
    <row r="16" spans="1:39" ht="14.5">
      <c r="A16" s="919"/>
      <c r="B16" s="793" t="s">
        <v>28</v>
      </c>
      <c r="C16" s="794">
        <f t="shared" si="3"/>
        <v>244.05399999999997</v>
      </c>
      <c r="D16" s="794">
        <v>257.94999999999999</v>
      </c>
      <c r="E16" s="794">
        <f>E15*E$4/1000</f>
        <v>11.375</v>
      </c>
      <c r="F16" s="794">
        <f t="shared" si="144" ref="F16">F15*F$4/1000</f>
        <v>88.739999999999995</v>
      </c>
      <c r="G16" s="794">
        <f t="shared" si="145" ref="G16">G15*G$4/1000</f>
        <v>13.667999999999999</v>
      </c>
      <c r="H16" s="794">
        <f t="shared" si="146" ref="H16">H15*H$4/1000</f>
        <v>3.4319999999999999</v>
      </c>
      <c r="I16" s="794">
        <f t="shared" si="147" ref="I16">I15*I$4/1000</f>
        <v>24.696000000000002</v>
      </c>
      <c r="J16" s="794">
        <f t="shared" si="148" ref="J16">J15*J$4/1000</f>
        <v>12.824999999999999</v>
      </c>
      <c r="K16" s="794">
        <f t="shared" si="149" ref="K16">K15*K$4/1000</f>
        <v>11.5</v>
      </c>
      <c r="L16" s="794">
        <f t="shared" si="150" ref="L16">L15*L$4/1000</f>
        <v>12.669000000000001</v>
      </c>
      <c r="M16" s="794">
        <f t="shared" si="151" ref="M16">M15*M$4/1000</f>
        <v>41.469999999999999</v>
      </c>
      <c r="N16" s="794">
        <f t="shared" si="152" ref="N16">N15*N$4/1000</f>
        <v>0</v>
      </c>
      <c r="O16" s="794">
        <f t="shared" si="153" ref="O16">O15*O$4/1000</f>
        <v>0.87</v>
      </c>
      <c r="P16" s="794">
        <f t="shared" si="154" ref="P16">P15*P$4/1000</f>
        <v>0.58799999999999997</v>
      </c>
      <c r="Q16" s="794">
        <f t="shared" si="155" ref="Q16">Q15*Q$4/1000</f>
        <v>0.91800000000000004</v>
      </c>
      <c r="R16" s="794">
        <f t="shared" si="156" ref="R16">R15*R$4/1000</f>
        <v>0.159</v>
      </c>
      <c r="S16" s="794">
        <f t="shared" si="157" ref="S16">S15*S$4/1000</f>
        <v>0.12</v>
      </c>
      <c r="T16" s="794">
        <f t="shared" si="158" ref="T16">T15*T$4/1000</f>
        <v>3.29</v>
      </c>
      <c r="U16" s="794">
        <f t="shared" si="159" ref="U16">U15*U$4/1000</f>
        <v>3.4079999999999999</v>
      </c>
      <c r="V16" s="794">
        <f t="shared" si="160" ref="V16">V15*V$4/1000</f>
        <v>0.93600000000000005</v>
      </c>
      <c r="W16" s="794">
        <f t="shared" si="161" ref="W16">W15*W$4/1000</f>
        <v>1.425</v>
      </c>
      <c r="X16" s="794">
        <f t="shared" si="162" ref="X16">X15*X$4/1000</f>
        <v>2.7200000000000002</v>
      </c>
      <c r="Y16" s="794">
        <f t="shared" si="163" ref="Y16">Y15*Y$4/1000</f>
        <v>2.1389999999999998</v>
      </c>
      <c r="Z16" s="794">
        <f t="shared" si="164" ref="Z16">Z15*Z$4/1000</f>
        <v>0.188</v>
      </c>
      <c r="AA16" s="794">
        <f t="shared" si="165" ref="AA16">AA15*AA$4/1000</f>
        <v>0.71399999999999997</v>
      </c>
      <c r="AB16" s="794">
        <f t="shared" si="166" ref="AB16">AB15*AB$4/1000</f>
        <v>0</v>
      </c>
      <c r="AC16" s="794">
        <f t="shared" si="167" ref="AC16">AC15*AC$4/1000</f>
        <v>0.45000000000000001</v>
      </c>
      <c r="AD16" s="794">
        <f t="shared" si="168" ref="AD16">AD15*AD$4/1000</f>
        <v>0</v>
      </c>
      <c r="AE16" s="794">
        <f t="shared" si="169" ref="AE16">AE15*AE$4/1000</f>
        <v>0.16400000000000001</v>
      </c>
      <c r="AF16" s="790"/>
      <c r="AG16" s="794">
        <f t="shared" si="170" ref="AG16">AG15*AG$4/1000</f>
        <v>0</v>
      </c>
      <c r="AH16" s="794">
        <f t="shared" si="171" ref="AH16">AH15*AH$4/1000</f>
        <v>0</v>
      </c>
      <c r="AI16" s="794">
        <f t="shared" si="172" ref="AI16">AI15*AI$4/1000</f>
        <v>0</v>
      </c>
      <c r="AJ16" s="794">
        <f t="shared" si="173" ref="AJ16">AJ15*AJ$4/1000</f>
        <v>5.5899999999999999</v>
      </c>
      <c r="AK16" s="794">
        <f t="shared" si="174" ref="AK16">AK15*AK$4/1000</f>
        <v>0</v>
      </c>
      <c r="AL16" s="794">
        <f t="shared" si="175" ref="AL16">AL15*AL$4/1000</f>
        <v>0</v>
      </c>
      <c r="AM16" s="794">
        <f t="shared" si="176" ref="AM16">AM15*AM$4/1000</f>
        <v>0</v>
      </c>
    </row>
    <row r="17" spans="1:42" ht="14.5">
      <c r="A17" s="918">
        <v>43647</v>
      </c>
      <c r="B17" s="788" t="s">
        <v>806</v>
      </c>
      <c r="C17" s="789">
        <f t="shared" si="3"/>
        <v>4595</v>
      </c>
      <c r="D17" s="789">
        <v>4789</v>
      </c>
      <c r="E17" s="789">
        <v>455</v>
      </c>
      <c r="F17" s="789">
        <f>2467-2</f>
        <v>2465</v>
      </c>
      <c r="G17" s="789">
        <v>268</v>
      </c>
      <c r="H17" s="789">
        <v>66</v>
      </c>
      <c r="I17" s="789">
        <f>410-67</f>
        <v>343</v>
      </c>
      <c r="J17" s="789">
        <f>179-8</f>
        <v>171</v>
      </c>
      <c r="K17" s="789">
        <v>125</v>
      </c>
      <c r="L17" s="789">
        <v>123</v>
      </c>
      <c r="M17" s="789">
        <v>290</v>
      </c>
      <c r="N17" s="790"/>
      <c r="O17" s="789">
        <v>29</v>
      </c>
      <c r="P17" s="789">
        <v>14</v>
      </c>
      <c r="Q17" s="789">
        <v>18</v>
      </c>
      <c r="R17" s="789">
        <v>3</v>
      </c>
      <c r="S17" s="789">
        <v>2</v>
      </c>
      <c r="T17" s="789">
        <v>47</v>
      </c>
      <c r="U17" s="789">
        <v>48</v>
      </c>
      <c r="V17" s="789">
        <v>13</v>
      </c>
      <c r="W17" s="789">
        <v>19</v>
      </c>
      <c r="X17" s="789">
        <v>34</v>
      </c>
      <c r="Y17" s="789">
        <v>23</v>
      </c>
      <c r="Z17" s="789">
        <v>2</v>
      </c>
      <c r="AA17" s="789">
        <v>7</v>
      </c>
      <c r="AB17" s="789"/>
      <c r="AC17" s="789">
        <v>3</v>
      </c>
      <c r="AD17" s="789"/>
      <c r="AE17" s="789">
        <v>1</v>
      </c>
      <c r="AF17" s="790"/>
      <c r="AG17" s="791">
        <v>0</v>
      </c>
      <c r="AH17" s="791">
        <v>0</v>
      </c>
      <c r="AI17" s="791">
        <v>0</v>
      </c>
      <c r="AJ17" s="791">
        <v>26</v>
      </c>
      <c r="AK17" s="791">
        <v>0</v>
      </c>
      <c r="AL17" s="791">
        <v>0</v>
      </c>
      <c r="AO17">
        <f t="shared" si="1"/>
        <v>26</v>
      </c>
      <c r="AP17">
        <f t="shared" si="2"/>
        <v>0</v>
      </c>
    </row>
    <row r="18" spans="1:39" ht="14.5">
      <c r="A18" s="919"/>
      <c r="B18" s="793" t="s">
        <v>28</v>
      </c>
      <c r="C18" s="794">
        <f t="shared" si="3"/>
        <v>244.05399999999997</v>
      </c>
      <c r="D18" s="794">
        <v>257.94999999999999</v>
      </c>
      <c r="E18" s="794">
        <f>E17*E$4/1000</f>
        <v>11.375</v>
      </c>
      <c r="F18" s="794">
        <f t="shared" si="177" ref="F18">F17*F$4/1000</f>
        <v>88.739999999999995</v>
      </c>
      <c r="G18" s="794">
        <f t="shared" si="178" ref="G18">G17*G$4/1000</f>
        <v>13.667999999999999</v>
      </c>
      <c r="H18" s="794">
        <f t="shared" si="179" ref="H18">H17*H$4/1000</f>
        <v>3.4319999999999999</v>
      </c>
      <c r="I18" s="794">
        <f t="shared" si="180" ref="I18">I17*I$4/1000</f>
        <v>24.696000000000002</v>
      </c>
      <c r="J18" s="794">
        <f t="shared" si="181" ref="J18">J17*J$4/1000</f>
        <v>12.824999999999999</v>
      </c>
      <c r="K18" s="794">
        <f t="shared" si="182" ref="K18">K17*K$4/1000</f>
        <v>11.5</v>
      </c>
      <c r="L18" s="794">
        <f t="shared" si="183" ref="L18">L17*L$4/1000</f>
        <v>12.669000000000001</v>
      </c>
      <c r="M18" s="794">
        <f t="shared" si="184" ref="M18">M17*M$4/1000</f>
        <v>41.469999999999999</v>
      </c>
      <c r="N18" s="794">
        <f t="shared" si="185" ref="N18">N17*N$4/1000</f>
        <v>0</v>
      </c>
      <c r="O18" s="794">
        <f t="shared" si="186" ref="O18">O17*O$4/1000</f>
        <v>0.87</v>
      </c>
      <c r="P18" s="794">
        <f t="shared" si="187" ref="P18">P17*P$4/1000</f>
        <v>0.58799999999999997</v>
      </c>
      <c r="Q18" s="794">
        <f t="shared" si="188" ref="Q18">Q17*Q$4/1000</f>
        <v>0.91800000000000004</v>
      </c>
      <c r="R18" s="794">
        <f t="shared" si="189" ref="R18">R17*R$4/1000</f>
        <v>0.159</v>
      </c>
      <c r="S18" s="794">
        <f t="shared" si="190" ref="S18">S17*S$4/1000</f>
        <v>0.12</v>
      </c>
      <c r="T18" s="794">
        <f t="shared" si="191" ref="T18">T17*T$4/1000</f>
        <v>3.29</v>
      </c>
      <c r="U18" s="794">
        <f t="shared" si="192" ref="U18">U17*U$4/1000</f>
        <v>3.4079999999999999</v>
      </c>
      <c r="V18" s="794">
        <f t="shared" si="193" ref="V18">V17*V$4/1000</f>
        <v>0.93600000000000005</v>
      </c>
      <c r="W18" s="794">
        <f t="shared" si="194" ref="W18">W17*W$4/1000</f>
        <v>1.425</v>
      </c>
      <c r="X18" s="794">
        <f t="shared" si="195" ref="X18">X17*X$4/1000</f>
        <v>2.7200000000000002</v>
      </c>
      <c r="Y18" s="794">
        <f t="shared" si="196" ref="Y18">Y17*Y$4/1000</f>
        <v>2.1389999999999998</v>
      </c>
      <c r="Z18" s="794">
        <f t="shared" si="197" ref="Z18">Z17*Z$4/1000</f>
        <v>0.188</v>
      </c>
      <c r="AA18" s="794">
        <f t="shared" si="198" ref="AA18">AA17*AA$4/1000</f>
        <v>0.71399999999999997</v>
      </c>
      <c r="AB18" s="794">
        <f t="shared" si="199" ref="AB18">AB17*AB$4/1000</f>
        <v>0</v>
      </c>
      <c r="AC18" s="794">
        <f t="shared" si="200" ref="AC18">AC17*AC$4/1000</f>
        <v>0.45000000000000001</v>
      </c>
      <c r="AD18" s="794">
        <f t="shared" si="201" ref="AD18">AD17*AD$4/1000</f>
        <v>0</v>
      </c>
      <c r="AE18" s="794">
        <f t="shared" si="202" ref="AE18">AE17*AE$4/1000</f>
        <v>0.16400000000000001</v>
      </c>
      <c r="AF18" s="790"/>
      <c r="AG18" s="794">
        <f t="shared" si="203" ref="AG18">AG17*AG$4/1000</f>
        <v>0</v>
      </c>
      <c r="AH18" s="794">
        <f t="shared" si="204" ref="AH18">AH17*AH$4/1000</f>
        <v>0</v>
      </c>
      <c r="AI18" s="794">
        <f t="shared" si="205" ref="AI18">AI17*AI$4/1000</f>
        <v>0</v>
      </c>
      <c r="AJ18" s="794">
        <f t="shared" si="206" ref="AJ18">AJ17*AJ$4/1000</f>
        <v>5.5899999999999999</v>
      </c>
      <c r="AK18" s="794">
        <f t="shared" si="207" ref="AK18">AK17*AK$4/1000</f>
        <v>0</v>
      </c>
      <c r="AL18" s="794">
        <f t="shared" si="208" ref="AL18">AL17*AL$4/1000</f>
        <v>0</v>
      </c>
      <c r="AM18" s="794">
        <f t="shared" si="209" ref="AM18">AM17*AM$4/1000</f>
        <v>0</v>
      </c>
    </row>
    <row r="19" spans="1:42" ht="14.5">
      <c r="A19" s="918">
        <v>43617</v>
      </c>
      <c r="B19" s="788" t="s">
        <v>806</v>
      </c>
      <c r="C19" s="789">
        <f t="shared" si="3"/>
        <v>4595</v>
      </c>
      <c r="D19" s="789">
        <v>4789</v>
      </c>
      <c r="E19" s="789">
        <v>455</v>
      </c>
      <c r="F19" s="789">
        <f>2467-2</f>
        <v>2465</v>
      </c>
      <c r="G19" s="789">
        <v>268</v>
      </c>
      <c r="H19" s="789">
        <v>66</v>
      </c>
      <c r="I19" s="789">
        <f>410-67</f>
        <v>343</v>
      </c>
      <c r="J19" s="789">
        <f>179-8</f>
        <v>171</v>
      </c>
      <c r="K19" s="789">
        <v>125</v>
      </c>
      <c r="L19" s="789">
        <v>123</v>
      </c>
      <c r="M19" s="789">
        <v>290</v>
      </c>
      <c r="N19" s="790"/>
      <c r="O19" s="789">
        <v>29</v>
      </c>
      <c r="P19" s="789">
        <v>14</v>
      </c>
      <c r="Q19" s="789">
        <v>18</v>
      </c>
      <c r="R19" s="789">
        <v>3</v>
      </c>
      <c r="S19" s="789">
        <v>2</v>
      </c>
      <c r="T19" s="789">
        <v>47</v>
      </c>
      <c r="U19" s="789">
        <v>48</v>
      </c>
      <c r="V19" s="789">
        <v>13</v>
      </c>
      <c r="W19" s="789">
        <v>19</v>
      </c>
      <c r="X19" s="789">
        <v>34</v>
      </c>
      <c r="Y19" s="789">
        <v>23</v>
      </c>
      <c r="Z19" s="789">
        <v>2</v>
      </c>
      <c r="AA19" s="789">
        <v>7</v>
      </c>
      <c r="AB19" s="789"/>
      <c r="AC19" s="789">
        <v>3</v>
      </c>
      <c r="AD19" s="789"/>
      <c r="AE19" s="789">
        <v>1</v>
      </c>
      <c r="AF19" s="790"/>
      <c r="AG19" s="791">
        <v>0</v>
      </c>
      <c r="AH19" s="791">
        <v>0</v>
      </c>
      <c r="AI19" s="791">
        <v>0</v>
      </c>
      <c r="AJ19" s="791">
        <v>26</v>
      </c>
      <c r="AK19" s="791">
        <v>0</v>
      </c>
      <c r="AL19" s="791">
        <v>0</v>
      </c>
      <c r="AO19">
        <f t="shared" si="1"/>
        <v>26</v>
      </c>
      <c r="AP19">
        <f t="shared" si="2"/>
        <v>0</v>
      </c>
    </row>
    <row r="20" spans="1:39" ht="14.5">
      <c r="A20" s="919"/>
      <c r="B20" s="793" t="s">
        <v>28</v>
      </c>
      <c r="C20" s="794">
        <f t="shared" si="3"/>
        <v>244.05399999999997</v>
      </c>
      <c r="D20" s="794">
        <v>257.94999999999999</v>
      </c>
      <c r="E20" s="794">
        <f>E19*E$4/1000</f>
        <v>11.375</v>
      </c>
      <c r="F20" s="794">
        <f t="shared" si="210" ref="F20">F19*F$4/1000</f>
        <v>88.739999999999995</v>
      </c>
      <c r="G20" s="794">
        <f t="shared" si="211" ref="G20">G19*G$4/1000</f>
        <v>13.667999999999999</v>
      </c>
      <c r="H20" s="794">
        <f t="shared" si="212" ref="H20">H19*H$4/1000</f>
        <v>3.4319999999999999</v>
      </c>
      <c r="I20" s="794">
        <f t="shared" si="213" ref="I20">I19*I$4/1000</f>
        <v>24.696000000000002</v>
      </c>
      <c r="J20" s="794">
        <f t="shared" si="214" ref="J20">J19*J$4/1000</f>
        <v>12.824999999999999</v>
      </c>
      <c r="K20" s="794">
        <f t="shared" si="215" ref="K20">K19*K$4/1000</f>
        <v>11.5</v>
      </c>
      <c r="L20" s="794">
        <f t="shared" si="216" ref="L20">L19*L$4/1000</f>
        <v>12.669000000000001</v>
      </c>
      <c r="M20" s="794">
        <f t="shared" si="217" ref="M20">M19*M$4/1000</f>
        <v>41.469999999999999</v>
      </c>
      <c r="N20" s="794">
        <f t="shared" si="218" ref="N20">N19*N$4/1000</f>
        <v>0</v>
      </c>
      <c r="O20" s="794">
        <f t="shared" si="219" ref="O20">O19*O$4/1000</f>
        <v>0.87</v>
      </c>
      <c r="P20" s="794">
        <f t="shared" si="220" ref="P20">P19*P$4/1000</f>
        <v>0.58799999999999997</v>
      </c>
      <c r="Q20" s="794">
        <f t="shared" si="221" ref="Q20">Q19*Q$4/1000</f>
        <v>0.91800000000000004</v>
      </c>
      <c r="R20" s="794">
        <f t="shared" si="222" ref="R20">R19*R$4/1000</f>
        <v>0.159</v>
      </c>
      <c r="S20" s="794">
        <f t="shared" si="223" ref="S20">S19*S$4/1000</f>
        <v>0.12</v>
      </c>
      <c r="T20" s="794">
        <f t="shared" si="224" ref="T20">T19*T$4/1000</f>
        <v>3.29</v>
      </c>
      <c r="U20" s="794">
        <f t="shared" si="225" ref="U20">U19*U$4/1000</f>
        <v>3.4079999999999999</v>
      </c>
      <c r="V20" s="794">
        <f t="shared" si="226" ref="V20">V19*V$4/1000</f>
        <v>0.93600000000000005</v>
      </c>
      <c r="W20" s="794">
        <f t="shared" si="227" ref="W20">W19*W$4/1000</f>
        <v>1.425</v>
      </c>
      <c r="X20" s="794">
        <f t="shared" si="228" ref="X20">X19*X$4/1000</f>
        <v>2.7200000000000002</v>
      </c>
      <c r="Y20" s="794">
        <f t="shared" si="229" ref="Y20">Y19*Y$4/1000</f>
        <v>2.1389999999999998</v>
      </c>
      <c r="Z20" s="794">
        <f t="shared" si="230" ref="Z20">Z19*Z$4/1000</f>
        <v>0.188</v>
      </c>
      <c r="AA20" s="794">
        <f t="shared" si="231" ref="AA20">AA19*AA$4/1000</f>
        <v>0.71399999999999997</v>
      </c>
      <c r="AB20" s="794">
        <f t="shared" si="232" ref="AB20">AB19*AB$4/1000</f>
        <v>0</v>
      </c>
      <c r="AC20" s="794">
        <f t="shared" si="233" ref="AC20">AC19*AC$4/1000</f>
        <v>0.45000000000000001</v>
      </c>
      <c r="AD20" s="794">
        <f t="shared" si="234" ref="AD20">AD19*AD$4/1000</f>
        <v>0</v>
      </c>
      <c r="AE20" s="794">
        <f t="shared" si="235" ref="AE20">AE19*AE$4/1000</f>
        <v>0.16400000000000001</v>
      </c>
      <c r="AF20" s="790"/>
      <c r="AG20" s="794">
        <f t="shared" si="236" ref="AG20">AG19*AG$4/1000</f>
        <v>0</v>
      </c>
      <c r="AH20" s="794">
        <f t="shared" si="237" ref="AH20">AH19*AH$4/1000</f>
        <v>0</v>
      </c>
      <c r="AI20" s="794">
        <f t="shared" si="238" ref="AI20">AI19*AI$4/1000</f>
        <v>0</v>
      </c>
      <c r="AJ20" s="794">
        <f t="shared" si="239" ref="AJ20">AJ19*AJ$4/1000</f>
        <v>5.5899999999999999</v>
      </c>
      <c r="AK20" s="794">
        <f t="shared" si="240" ref="AK20">AK19*AK$4/1000</f>
        <v>0</v>
      </c>
      <c r="AL20" s="794">
        <f t="shared" si="241" ref="AL20">AL19*AL$4/1000</f>
        <v>0</v>
      </c>
      <c r="AM20" s="794">
        <f t="shared" si="242" ref="AM20">AM19*AM$4/1000</f>
        <v>0</v>
      </c>
    </row>
    <row r="21" spans="1:42" ht="14.5">
      <c r="A21" s="918">
        <v>43586</v>
      </c>
      <c r="B21" s="788" t="s">
        <v>806</v>
      </c>
      <c r="C21" s="789">
        <f t="shared" si="3"/>
        <v>4595</v>
      </c>
      <c r="D21" s="789">
        <v>4789</v>
      </c>
      <c r="E21" s="789">
        <v>455</v>
      </c>
      <c r="F21" s="789">
        <f>2467-2</f>
        <v>2465</v>
      </c>
      <c r="G21" s="789">
        <v>268</v>
      </c>
      <c r="H21" s="789">
        <v>66</v>
      </c>
      <c r="I21" s="789">
        <f>410-67</f>
        <v>343</v>
      </c>
      <c r="J21" s="789">
        <f>179-8</f>
        <v>171</v>
      </c>
      <c r="K21" s="789">
        <v>125</v>
      </c>
      <c r="L21" s="789">
        <v>123</v>
      </c>
      <c r="M21" s="789">
        <v>290</v>
      </c>
      <c r="N21" s="790"/>
      <c r="O21" s="789">
        <v>29</v>
      </c>
      <c r="P21" s="789">
        <v>14</v>
      </c>
      <c r="Q21" s="789">
        <v>18</v>
      </c>
      <c r="R21" s="789">
        <v>3</v>
      </c>
      <c r="S21" s="789">
        <v>2</v>
      </c>
      <c r="T21" s="789">
        <v>47</v>
      </c>
      <c r="U21" s="789">
        <v>48</v>
      </c>
      <c r="V21" s="789">
        <v>13</v>
      </c>
      <c r="W21" s="789">
        <v>19</v>
      </c>
      <c r="X21" s="789">
        <v>34</v>
      </c>
      <c r="Y21" s="789">
        <v>23</v>
      </c>
      <c r="Z21" s="789">
        <v>2</v>
      </c>
      <c r="AA21" s="789">
        <v>7</v>
      </c>
      <c r="AB21" s="789"/>
      <c r="AC21" s="789">
        <v>3</v>
      </c>
      <c r="AD21" s="789"/>
      <c r="AE21" s="789">
        <v>1</v>
      </c>
      <c r="AF21" s="790"/>
      <c r="AG21" s="791">
        <v>0</v>
      </c>
      <c r="AH21" s="791">
        <v>0</v>
      </c>
      <c r="AI21" s="791">
        <v>0</v>
      </c>
      <c r="AJ21" s="791">
        <v>26</v>
      </c>
      <c r="AK21" s="791">
        <v>0</v>
      </c>
      <c r="AL21" s="791">
        <v>0</v>
      </c>
      <c r="AO21">
        <f t="shared" si="1"/>
        <v>26</v>
      </c>
      <c r="AP21">
        <f t="shared" si="2"/>
        <v>0</v>
      </c>
    </row>
    <row r="22" spans="1:39" ht="14.5">
      <c r="A22" s="919"/>
      <c r="B22" s="793" t="s">
        <v>28</v>
      </c>
      <c r="C22" s="794">
        <f t="shared" si="3"/>
        <v>244.05399999999997</v>
      </c>
      <c r="D22" s="794">
        <v>257.94999999999999</v>
      </c>
      <c r="E22" s="794">
        <f>E21*E$4/1000</f>
        <v>11.375</v>
      </c>
      <c r="F22" s="794">
        <f t="shared" si="243" ref="F22">F21*F$4/1000</f>
        <v>88.739999999999995</v>
      </c>
      <c r="G22" s="794">
        <f t="shared" si="244" ref="G22">G21*G$4/1000</f>
        <v>13.667999999999999</v>
      </c>
      <c r="H22" s="794">
        <f t="shared" si="245" ref="H22">H21*H$4/1000</f>
        <v>3.4319999999999999</v>
      </c>
      <c r="I22" s="794">
        <f t="shared" si="246" ref="I22">I21*I$4/1000</f>
        <v>24.696000000000002</v>
      </c>
      <c r="J22" s="794">
        <f t="shared" si="247" ref="J22">J21*J$4/1000</f>
        <v>12.824999999999999</v>
      </c>
      <c r="K22" s="794">
        <f t="shared" si="248" ref="K22">K21*K$4/1000</f>
        <v>11.5</v>
      </c>
      <c r="L22" s="794">
        <f t="shared" si="249" ref="L22">L21*L$4/1000</f>
        <v>12.669000000000001</v>
      </c>
      <c r="M22" s="794">
        <f t="shared" si="250" ref="M22">M21*M$4/1000</f>
        <v>41.469999999999999</v>
      </c>
      <c r="N22" s="794">
        <f t="shared" si="251" ref="N22">N21*N$4/1000</f>
        <v>0</v>
      </c>
      <c r="O22" s="794">
        <f t="shared" si="252" ref="O22">O21*O$4/1000</f>
        <v>0.87</v>
      </c>
      <c r="P22" s="794">
        <f t="shared" si="253" ref="P22">P21*P$4/1000</f>
        <v>0.58799999999999997</v>
      </c>
      <c r="Q22" s="794">
        <f t="shared" si="254" ref="Q22">Q21*Q$4/1000</f>
        <v>0.91800000000000004</v>
      </c>
      <c r="R22" s="794">
        <f t="shared" si="255" ref="R22">R21*R$4/1000</f>
        <v>0.159</v>
      </c>
      <c r="S22" s="794">
        <f t="shared" si="256" ref="S22">S21*S$4/1000</f>
        <v>0.12</v>
      </c>
      <c r="T22" s="794">
        <f t="shared" si="257" ref="T22">T21*T$4/1000</f>
        <v>3.29</v>
      </c>
      <c r="U22" s="794">
        <f t="shared" si="258" ref="U22">U21*U$4/1000</f>
        <v>3.4079999999999999</v>
      </c>
      <c r="V22" s="794">
        <f t="shared" si="259" ref="V22">V21*V$4/1000</f>
        <v>0.93600000000000005</v>
      </c>
      <c r="W22" s="794">
        <f t="shared" si="260" ref="W22">W21*W$4/1000</f>
        <v>1.425</v>
      </c>
      <c r="X22" s="794">
        <f t="shared" si="261" ref="X22">X21*X$4/1000</f>
        <v>2.7200000000000002</v>
      </c>
      <c r="Y22" s="794">
        <f t="shared" si="262" ref="Y22">Y21*Y$4/1000</f>
        <v>2.1389999999999998</v>
      </c>
      <c r="Z22" s="794">
        <f t="shared" si="263" ref="Z22">Z21*Z$4/1000</f>
        <v>0.188</v>
      </c>
      <c r="AA22" s="794">
        <f t="shared" si="264" ref="AA22">AA21*AA$4/1000</f>
        <v>0.71399999999999997</v>
      </c>
      <c r="AB22" s="794">
        <f t="shared" si="265" ref="AB22">AB21*AB$4/1000</f>
        <v>0</v>
      </c>
      <c r="AC22" s="794">
        <f t="shared" si="266" ref="AC22">AC21*AC$4/1000</f>
        <v>0.45000000000000001</v>
      </c>
      <c r="AD22" s="794">
        <f t="shared" si="267" ref="AD22">AD21*AD$4/1000</f>
        <v>0</v>
      </c>
      <c r="AE22" s="794">
        <f t="shared" si="268" ref="AE22">AE21*AE$4/1000</f>
        <v>0.16400000000000001</v>
      </c>
      <c r="AF22" s="790"/>
      <c r="AG22" s="794">
        <f t="shared" si="269" ref="AG22">AG21*AG$4/1000</f>
        <v>0</v>
      </c>
      <c r="AH22" s="794">
        <f t="shared" si="270" ref="AH22">AH21*AH$4/1000</f>
        <v>0</v>
      </c>
      <c r="AI22" s="794">
        <f t="shared" si="271" ref="AI22">AI21*AI$4/1000</f>
        <v>0</v>
      </c>
      <c r="AJ22" s="794">
        <f t="shared" si="272" ref="AJ22">AJ21*AJ$4/1000</f>
        <v>5.5899999999999999</v>
      </c>
      <c r="AK22" s="794">
        <f t="shared" si="273" ref="AK22">AK21*AK$4/1000</f>
        <v>0</v>
      </c>
      <c r="AL22" s="794">
        <f t="shared" si="274" ref="AL22">AL21*AL$4/1000</f>
        <v>0</v>
      </c>
      <c r="AM22" s="794">
        <f t="shared" si="275" ref="AM22">AM21*AM$4/1000</f>
        <v>0</v>
      </c>
    </row>
    <row r="23" spans="1:42" ht="14.5">
      <c r="A23" s="920">
        <v>43556</v>
      </c>
      <c r="B23" s="788" t="s">
        <v>806</v>
      </c>
      <c r="C23" s="789">
        <f t="shared" si="3"/>
        <v>4595</v>
      </c>
      <c r="D23" s="789">
        <v>4778</v>
      </c>
      <c r="E23" s="789">
        <v>455</v>
      </c>
      <c r="F23" s="789">
        <f>2467-2</f>
        <v>2465</v>
      </c>
      <c r="G23" s="789">
        <v>268</v>
      </c>
      <c r="H23" s="789">
        <v>66</v>
      </c>
      <c r="I23" s="789">
        <f>410-67</f>
        <v>343</v>
      </c>
      <c r="J23" s="789">
        <f>179-8</f>
        <v>171</v>
      </c>
      <c r="K23" s="789">
        <v>125</v>
      </c>
      <c r="L23" s="789">
        <v>123</v>
      </c>
      <c r="M23" s="789">
        <v>290</v>
      </c>
      <c r="N23" s="790"/>
      <c r="O23" s="789">
        <v>29</v>
      </c>
      <c r="P23" s="789">
        <v>14</v>
      </c>
      <c r="Q23" s="789">
        <v>18</v>
      </c>
      <c r="R23" s="789">
        <v>3</v>
      </c>
      <c r="S23" s="789">
        <v>2</v>
      </c>
      <c r="T23" s="789">
        <v>47</v>
      </c>
      <c r="U23" s="789">
        <v>48</v>
      </c>
      <c r="V23" s="789">
        <v>13</v>
      </c>
      <c r="W23" s="789">
        <v>19</v>
      </c>
      <c r="X23" s="789">
        <v>34</v>
      </c>
      <c r="Y23" s="789">
        <v>23</v>
      </c>
      <c r="Z23" s="789">
        <v>2</v>
      </c>
      <c r="AA23" s="789">
        <v>7</v>
      </c>
      <c r="AB23" s="789"/>
      <c r="AC23" s="789">
        <v>3</v>
      </c>
      <c r="AD23" s="789"/>
      <c r="AE23" s="789">
        <v>1</v>
      </c>
      <c r="AF23" s="790"/>
      <c r="AG23" s="791">
        <v>0</v>
      </c>
      <c r="AH23" s="791">
        <v>0</v>
      </c>
      <c r="AI23" s="791">
        <v>0</v>
      </c>
      <c r="AJ23" s="791">
        <v>26</v>
      </c>
      <c r="AK23" s="791">
        <v>0</v>
      </c>
      <c r="AL23" s="791">
        <v>0</v>
      </c>
      <c r="AO23">
        <f t="shared" si="1"/>
        <v>26</v>
      </c>
      <c r="AP23">
        <f t="shared" si="2"/>
        <v>0</v>
      </c>
    </row>
    <row r="24" spans="1:39" ht="14.5">
      <c r="A24" s="920"/>
      <c r="B24" s="793" t="s">
        <v>28</v>
      </c>
      <c r="C24" s="794">
        <f t="shared" si="3"/>
        <v>244.05399999999997</v>
      </c>
      <c r="D24" s="794">
        <v>257.37799999999999</v>
      </c>
      <c r="E24" s="794">
        <f>E23*E$4/1000</f>
        <v>11.375</v>
      </c>
      <c r="F24" s="794">
        <f t="shared" si="276" ref="F24">F23*F$4/1000</f>
        <v>88.739999999999995</v>
      </c>
      <c r="G24" s="794">
        <f t="shared" si="277" ref="G24">G23*G$4/1000</f>
        <v>13.667999999999999</v>
      </c>
      <c r="H24" s="794">
        <f t="shared" si="278" ref="H24">H23*H$4/1000</f>
        <v>3.4319999999999999</v>
      </c>
      <c r="I24" s="794">
        <f t="shared" si="279" ref="I24">I23*I$4/1000</f>
        <v>24.696000000000002</v>
      </c>
      <c r="J24" s="794">
        <f t="shared" si="280" ref="J24">J23*J$4/1000</f>
        <v>12.824999999999999</v>
      </c>
      <c r="K24" s="794">
        <f t="shared" si="281" ref="K24">K23*K$4/1000</f>
        <v>11.5</v>
      </c>
      <c r="L24" s="794">
        <f t="shared" si="282" ref="L24">L23*L$4/1000</f>
        <v>12.669000000000001</v>
      </c>
      <c r="M24" s="794">
        <f t="shared" si="283" ref="M24">M23*M$4/1000</f>
        <v>41.469999999999999</v>
      </c>
      <c r="N24" s="794">
        <f t="shared" si="284" ref="N24">N23*N$4/1000</f>
        <v>0</v>
      </c>
      <c r="O24" s="794">
        <f t="shared" si="285" ref="O24">O23*O$4/1000</f>
        <v>0.87</v>
      </c>
      <c r="P24" s="794">
        <f t="shared" si="286" ref="P24">P23*P$4/1000</f>
        <v>0.58799999999999997</v>
      </c>
      <c r="Q24" s="794">
        <f t="shared" si="287" ref="Q24">Q23*Q$4/1000</f>
        <v>0.91800000000000004</v>
      </c>
      <c r="R24" s="794">
        <f t="shared" si="288" ref="R24">R23*R$4/1000</f>
        <v>0.159</v>
      </c>
      <c r="S24" s="794">
        <f t="shared" si="289" ref="S24">S23*S$4/1000</f>
        <v>0.12</v>
      </c>
      <c r="T24" s="794">
        <f t="shared" si="290" ref="T24">T23*T$4/1000</f>
        <v>3.29</v>
      </c>
      <c r="U24" s="794">
        <f t="shared" si="291" ref="U24">U23*U$4/1000</f>
        <v>3.4079999999999999</v>
      </c>
      <c r="V24" s="794">
        <f t="shared" si="292" ref="V24">V23*V$4/1000</f>
        <v>0.93600000000000005</v>
      </c>
      <c r="W24" s="794">
        <f t="shared" si="293" ref="W24">W23*W$4/1000</f>
        <v>1.425</v>
      </c>
      <c r="X24" s="794">
        <f t="shared" si="294" ref="X24">X23*X$4/1000</f>
        <v>2.7200000000000002</v>
      </c>
      <c r="Y24" s="794">
        <f t="shared" si="295" ref="Y24">Y23*Y$4/1000</f>
        <v>2.1389999999999998</v>
      </c>
      <c r="Z24" s="794">
        <f t="shared" si="296" ref="Z24">Z23*Z$4/1000</f>
        <v>0.188</v>
      </c>
      <c r="AA24" s="794">
        <f t="shared" si="297" ref="AA24">AA23*AA$4/1000</f>
        <v>0.71399999999999997</v>
      </c>
      <c r="AB24" s="794">
        <f t="shared" si="298" ref="AB24">AB23*AB$4/1000</f>
        <v>0</v>
      </c>
      <c r="AC24" s="794">
        <f t="shared" si="299" ref="AC24">AC23*AC$4/1000</f>
        <v>0.45000000000000001</v>
      </c>
      <c r="AD24" s="794">
        <f t="shared" si="300" ref="AD24">AD23*AD$4/1000</f>
        <v>0</v>
      </c>
      <c r="AE24" s="794">
        <f t="shared" si="301" ref="AE24">AE23*AE$4/1000</f>
        <v>0.16400000000000001</v>
      </c>
      <c r="AF24" s="790"/>
      <c r="AG24" s="794">
        <f t="shared" si="302" ref="AG24">AG23*AG$4/1000</f>
        <v>0</v>
      </c>
      <c r="AH24" s="794">
        <f t="shared" si="303" ref="AH24">AH23*AH$4/1000</f>
        <v>0</v>
      </c>
      <c r="AI24" s="794">
        <f t="shared" si="304" ref="AI24">AI23*AI$4/1000</f>
        <v>0</v>
      </c>
      <c r="AJ24" s="794">
        <f t="shared" si="305" ref="AJ24">AJ23*AJ$4/1000</f>
        <v>5.5899999999999999</v>
      </c>
      <c r="AK24" s="794">
        <f t="shared" si="306" ref="AK24">AK23*AK$4/1000</f>
        <v>0</v>
      </c>
      <c r="AL24" s="794">
        <f t="shared" si="307" ref="AL24">AL23*AL$4/1000</f>
        <v>0</v>
      </c>
      <c r="AM24" s="794">
        <f t="shared" si="308" ref="AM24">AM23*AM$4/1000</f>
        <v>0</v>
      </c>
    </row>
    <row r="25" spans="1:42" ht="14.5">
      <c r="A25" s="920">
        <v>43525</v>
      </c>
      <c r="B25" s="788" t="s">
        <v>806</v>
      </c>
      <c r="C25" s="789">
        <f t="shared" si="3"/>
        <v>4595</v>
      </c>
      <c r="D25" s="789">
        <v>4778</v>
      </c>
      <c r="E25" s="789">
        <v>455</v>
      </c>
      <c r="F25" s="789">
        <f>2467-2</f>
        <v>2465</v>
      </c>
      <c r="G25" s="789">
        <v>268</v>
      </c>
      <c r="H25" s="789">
        <v>66</v>
      </c>
      <c r="I25" s="789">
        <f>410-67</f>
        <v>343</v>
      </c>
      <c r="J25" s="789">
        <f>179-8</f>
        <v>171</v>
      </c>
      <c r="K25" s="789">
        <v>125</v>
      </c>
      <c r="L25" s="789">
        <v>123</v>
      </c>
      <c r="M25" s="789">
        <v>290</v>
      </c>
      <c r="N25" s="790"/>
      <c r="O25" s="789">
        <v>29</v>
      </c>
      <c r="P25" s="789">
        <v>14</v>
      </c>
      <c r="Q25" s="789">
        <v>18</v>
      </c>
      <c r="R25" s="789">
        <v>3</v>
      </c>
      <c r="S25" s="789">
        <v>2</v>
      </c>
      <c r="T25" s="789">
        <v>47</v>
      </c>
      <c r="U25" s="789">
        <v>48</v>
      </c>
      <c r="V25" s="789">
        <v>13</v>
      </c>
      <c r="W25" s="789">
        <v>19</v>
      </c>
      <c r="X25" s="789">
        <v>34</v>
      </c>
      <c r="Y25" s="789">
        <v>23</v>
      </c>
      <c r="Z25" s="789">
        <v>2</v>
      </c>
      <c r="AA25" s="789">
        <v>7</v>
      </c>
      <c r="AB25" s="789"/>
      <c r="AC25" s="789">
        <v>3</v>
      </c>
      <c r="AD25" s="789"/>
      <c r="AE25" s="789">
        <v>1</v>
      </c>
      <c r="AF25" s="790"/>
      <c r="AG25" s="791">
        <v>0</v>
      </c>
      <c r="AH25" s="791">
        <v>0</v>
      </c>
      <c r="AI25" s="791">
        <v>0</v>
      </c>
      <c r="AJ25" s="791">
        <v>26</v>
      </c>
      <c r="AK25" s="791">
        <v>0</v>
      </c>
      <c r="AL25" s="791">
        <v>0</v>
      </c>
      <c r="AO25">
        <f t="shared" si="1"/>
        <v>26</v>
      </c>
      <c r="AP25">
        <f t="shared" si="2"/>
        <v>0</v>
      </c>
    </row>
    <row r="26" spans="1:39" ht="14.5">
      <c r="A26" s="920"/>
      <c r="B26" s="793" t="s">
        <v>28</v>
      </c>
      <c r="C26" s="794">
        <f t="shared" si="3"/>
        <v>244.05399999999997</v>
      </c>
      <c r="D26" s="794">
        <v>257.37799999999999</v>
      </c>
      <c r="E26" s="794">
        <f>E25*E$4/1000</f>
        <v>11.375</v>
      </c>
      <c r="F26" s="794">
        <f t="shared" si="309" ref="F26">F25*F$4/1000</f>
        <v>88.739999999999995</v>
      </c>
      <c r="G26" s="794">
        <f t="shared" si="310" ref="G26">G25*G$4/1000</f>
        <v>13.667999999999999</v>
      </c>
      <c r="H26" s="794">
        <f t="shared" si="311" ref="H26">H25*H$4/1000</f>
        <v>3.4319999999999999</v>
      </c>
      <c r="I26" s="794">
        <f t="shared" si="312" ref="I26">I25*I$4/1000</f>
        <v>24.696000000000002</v>
      </c>
      <c r="J26" s="794">
        <f t="shared" si="313" ref="J26">J25*J$4/1000</f>
        <v>12.824999999999999</v>
      </c>
      <c r="K26" s="794">
        <f t="shared" si="314" ref="K26">K25*K$4/1000</f>
        <v>11.5</v>
      </c>
      <c r="L26" s="794">
        <f t="shared" si="315" ref="L26">L25*L$4/1000</f>
        <v>12.669000000000001</v>
      </c>
      <c r="M26" s="794">
        <f t="shared" si="316" ref="M26">M25*M$4/1000</f>
        <v>41.469999999999999</v>
      </c>
      <c r="N26" s="794">
        <f t="shared" si="317" ref="N26">N25*N$4/1000</f>
        <v>0</v>
      </c>
      <c r="O26" s="794">
        <f t="shared" si="318" ref="O26">O25*O$4/1000</f>
        <v>0.87</v>
      </c>
      <c r="P26" s="794">
        <f t="shared" si="319" ref="P26">P25*P$4/1000</f>
        <v>0.58799999999999997</v>
      </c>
      <c r="Q26" s="794">
        <f t="shared" si="320" ref="Q26">Q25*Q$4/1000</f>
        <v>0.91800000000000004</v>
      </c>
      <c r="R26" s="794">
        <f t="shared" si="321" ref="R26">R25*R$4/1000</f>
        <v>0.159</v>
      </c>
      <c r="S26" s="794">
        <f t="shared" si="322" ref="S26">S25*S$4/1000</f>
        <v>0.12</v>
      </c>
      <c r="T26" s="794">
        <f t="shared" si="323" ref="T26">T25*T$4/1000</f>
        <v>3.29</v>
      </c>
      <c r="U26" s="794">
        <f t="shared" si="324" ref="U26">U25*U$4/1000</f>
        <v>3.4079999999999999</v>
      </c>
      <c r="V26" s="794">
        <f t="shared" si="325" ref="V26">V25*V$4/1000</f>
        <v>0.93600000000000005</v>
      </c>
      <c r="W26" s="794">
        <f t="shared" si="326" ref="W26">W25*W$4/1000</f>
        <v>1.425</v>
      </c>
      <c r="X26" s="794">
        <f t="shared" si="327" ref="X26">X25*X$4/1000</f>
        <v>2.7200000000000002</v>
      </c>
      <c r="Y26" s="794">
        <f t="shared" si="328" ref="Y26">Y25*Y$4/1000</f>
        <v>2.1389999999999998</v>
      </c>
      <c r="Z26" s="794">
        <f t="shared" si="329" ref="Z26">Z25*Z$4/1000</f>
        <v>0.188</v>
      </c>
      <c r="AA26" s="794">
        <f t="shared" si="330" ref="AA26">AA25*AA$4/1000</f>
        <v>0.71399999999999997</v>
      </c>
      <c r="AB26" s="794">
        <f t="shared" si="331" ref="AB26">AB25*AB$4/1000</f>
        <v>0</v>
      </c>
      <c r="AC26" s="794">
        <f t="shared" si="332" ref="AC26">AC25*AC$4/1000</f>
        <v>0.45000000000000001</v>
      </c>
      <c r="AD26" s="794">
        <f t="shared" si="333" ref="AD26">AD25*AD$4/1000</f>
        <v>0</v>
      </c>
      <c r="AE26" s="794">
        <f t="shared" si="334" ref="AE26">AE25*AE$4/1000</f>
        <v>0.16400000000000001</v>
      </c>
      <c r="AF26" s="790"/>
      <c r="AG26" s="794">
        <f t="shared" si="335" ref="AG26">AG25*AG$4/1000</f>
        <v>0</v>
      </c>
      <c r="AH26" s="794">
        <f t="shared" si="336" ref="AH26">AH25*AH$4/1000</f>
        <v>0</v>
      </c>
      <c r="AI26" s="794">
        <f t="shared" si="337" ref="AI26">AI25*AI$4/1000</f>
        <v>0</v>
      </c>
      <c r="AJ26" s="794">
        <f t="shared" si="338" ref="AJ26">AJ25*AJ$4/1000</f>
        <v>5.5899999999999999</v>
      </c>
      <c r="AK26" s="794">
        <f t="shared" si="339" ref="AK26">AK25*AK$4/1000</f>
        <v>0</v>
      </c>
      <c r="AL26" s="794">
        <f t="shared" si="340" ref="AL26">AL25*AL$4/1000</f>
        <v>0</v>
      </c>
      <c r="AM26" s="794">
        <f t="shared" si="341" ref="AM26">AM25*AM$4/1000</f>
        <v>0</v>
      </c>
    </row>
    <row r="27" spans="1:42" ht="14.5">
      <c r="A27" s="920">
        <v>43497</v>
      </c>
      <c r="B27" s="788" t="s">
        <v>806</v>
      </c>
      <c r="C27" s="789">
        <f t="shared" si="3"/>
        <v>4595</v>
      </c>
      <c r="D27" s="789">
        <v>4778</v>
      </c>
      <c r="E27" s="789">
        <v>455</v>
      </c>
      <c r="F27" s="789">
        <f>2467-2</f>
        <v>2465</v>
      </c>
      <c r="G27" s="789">
        <v>268</v>
      </c>
      <c r="H27" s="789">
        <v>66</v>
      </c>
      <c r="I27" s="789">
        <f>410-67</f>
        <v>343</v>
      </c>
      <c r="J27" s="789">
        <f>179-8</f>
        <v>171</v>
      </c>
      <c r="K27" s="789">
        <v>125</v>
      </c>
      <c r="L27" s="789">
        <v>123</v>
      </c>
      <c r="M27" s="789">
        <v>290</v>
      </c>
      <c r="N27" s="790"/>
      <c r="O27" s="789">
        <v>29</v>
      </c>
      <c r="P27" s="789">
        <v>14</v>
      </c>
      <c r="Q27" s="789">
        <v>18</v>
      </c>
      <c r="R27" s="789">
        <v>3</v>
      </c>
      <c r="S27" s="789">
        <v>2</v>
      </c>
      <c r="T27" s="789">
        <v>47</v>
      </c>
      <c r="U27" s="789">
        <v>48</v>
      </c>
      <c r="V27" s="789">
        <v>13</v>
      </c>
      <c r="W27" s="789">
        <v>19</v>
      </c>
      <c r="X27" s="789">
        <v>34</v>
      </c>
      <c r="Y27" s="789">
        <v>23</v>
      </c>
      <c r="Z27" s="789">
        <v>2</v>
      </c>
      <c r="AA27" s="789">
        <v>7</v>
      </c>
      <c r="AB27" s="789"/>
      <c r="AC27" s="789">
        <v>3</v>
      </c>
      <c r="AD27" s="789"/>
      <c r="AE27" s="789">
        <v>1</v>
      </c>
      <c r="AF27" s="790"/>
      <c r="AG27" s="791">
        <v>0</v>
      </c>
      <c r="AH27" s="791">
        <v>0</v>
      </c>
      <c r="AI27" s="791">
        <v>0</v>
      </c>
      <c r="AJ27" s="791">
        <v>26</v>
      </c>
      <c r="AK27" s="791">
        <v>0</v>
      </c>
      <c r="AL27" s="791">
        <v>0</v>
      </c>
      <c r="AO27">
        <f t="shared" si="1"/>
        <v>26</v>
      </c>
      <c r="AP27">
        <f t="shared" si="2"/>
        <v>0</v>
      </c>
    </row>
    <row r="28" spans="1:39" ht="14.5">
      <c r="A28" s="920"/>
      <c r="B28" s="793" t="s">
        <v>28</v>
      </c>
      <c r="C28" s="794">
        <f t="shared" si="3"/>
        <v>244.05399999999997</v>
      </c>
      <c r="D28" s="794">
        <v>257.37799999999999</v>
      </c>
      <c r="E28" s="794">
        <f>E27*E$4/1000</f>
        <v>11.375</v>
      </c>
      <c r="F28" s="794">
        <f t="shared" si="342" ref="F28">F27*F$4/1000</f>
        <v>88.739999999999995</v>
      </c>
      <c r="G28" s="794">
        <f t="shared" si="343" ref="G28">G27*G$4/1000</f>
        <v>13.667999999999999</v>
      </c>
      <c r="H28" s="794">
        <f t="shared" si="344" ref="H28">H27*H$4/1000</f>
        <v>3.4319999999999999</v>
      </c>
      <c r="I28" s="794">
        <f t="shared" si="345" ref="I28">I27*I$4/1000</f>
        <v>24.696000000000002</v>
      </c>
      <c r="J28" s="794">
        <f t="shared" si="346" ref="J28">J27*J$4/1000</f>
        <v>12.824999999999999</v>
      </c>
      <c r="K28" s="794">
        <f t="shared" si="347" ref="K28">K27*K$4/1000</f>
        <v>11.5</v>
      </c>
      <c r="L28" s="794">
        <f t="shared" si="348" ref="L28">L27*L$4/1000</f>
        <v>12.669000000000001</v>
      </c>
      <c r="M28" s="794">
        <f t="shared" si="349" ref="M28">M27*M$4/1000</f>
        <v>41.469999999999999</v>
      </c>
      <c r="N28" s="794">
        <f t="shared" si="350" ref="N28">N27*N$4/1000</f>
        <v>0</v>
      </c>
      <c r="O28" s="794">
        <f t="shared" si="351" ref="O28">O27*O$4/1000</f>
        <v>0.87</v>
      </c>
      <c r="P28" s="794">
        <f t="shared" si="352" ref="P28">P27*P$4/1000</f>
        <v>0.58799999999999997</v>
      </c>
      <c r="Q28" s="794">
        <f t="shared" si="353" ref="Q28">Q27*Q$4/1000</f>
        <v>0.91800000000000004</v>
      </c>
      <c r="R28" s="794">
        <f t="shared" si="354" ref="R28">R27*R$4/1000</f>
        <v>0.159</v>
      </c>
      <c r="S28" s="794">
        <f t="shared" si="355" ref="S28">S27*S$4/1000</f>
        <v>0.12</v>
      </c>
      <c r="T28" s="794">
        <f t="shared" si="356" ref="T28">T27*T$4/1000</f>
        <v>3.29</v>
      </c>
      <c r="U28" s="794">
        <f t="shared" si="357" ref="U28">U27*U$4/1000</f>
        <v>3.4079999999999999</v>
      </c>
      <c r="V28" s="794">
        <f t="shared" si="358" ref="V28">V27*V$4/1000</f>
        <v>0.93600000000000005</v>
      </c>
      <c r="W28" s="794">
        <f t="shared" si="359" ref="W28">W27*W$4/1000</f>
        <v>1.425</v>
      </c>
      <c r="X28" s="794">
        <f t="shared" si="360" ref="X28">X27*X$4/1000</f>
        <v>2.7200000000000002</v>
      </c>
      <c r="Y28" s="794">
        <f t="shared" si="361" ref="Y28">Y27*Y$4/1000</f>
        <v>2.1389999999999998</v>
      </c>
      <c r="Z28" s="794">
        <f t="shared" si="362" ref="Z28">Z27*Z$4/1000</f>
        <v>0.188</v>
      </c>
      <c r="AA28" s="794">
        <f t="shared" si="363" ref="AA28">AA27*AA$4/1000</f>
        <v>0.71399999999999997</v>
      </c>
      <c r="AB28" s="794">
        <f t="shared" si="364" ref="AB28">AB27*AB$4/1000</f>
        <v>0</v>
      </c>
      <c r="AC28" s="794">
        <f t="shared" si="365" ref="AC28">AC27*AC$4/1000</f>
        <v>0.45000000000000001</v>
      </c>
      <c r="AD28" s="794">
        <f t="shared" si="366" ref="AD28">AD27*AD$4/1000</f>
        <v>0</v>
      </c>
      <c r="AE28" s="794">
        <f t="shared" si="367" ref="AE28">AE27*AE$4/1000</f>
        <v>0.16400000000000001</v>
      </c>
      <c r="AF28" s="790"/>
      <c r="AG28" s="794">
        <f t="shared" si="368" ref="AG28">AG27*AG$4/1000</f>
        <v>0</v>
      </c>
      <c r="AH28" s="794">
        <f t="shared" si="369" ref="AH28">AH27*AH$4/1000</f>
        <v>0</v>
      </c>
      <c r="AI28" s="794">
        <f t="shared" si="370" ref="AI28">AI27*AI$4/1000</f>
        <v>0</v>
      </c>
      <c r="AJ28" s="794">
        <f t="shared" si="371" ref="AJ28">AJ27*AJ$4/1000</f>
        <v>5.5899999999999999</v>
      </c>
      <c r="AK28" s="794">
        <f t="shared" si="372" ref="AK28">AK27*AK$4/1000</f>
        <v>0</v>
      </c>
      <c r="AL28" s="794">
        <f t="shared" si="373" ref="AL28">AL27*AL$4/1000</f>
        <v>0</v>
      </c>
      <c r="AM28" s="794">
        <f t="shared" si="374" ref="AM28">AM27*AM$4/1000</f>
        <v>0</v>
      </c>
    </row>
    <row r="29" spans="1:42" ht="14.5">
      <c r="A29" s="920">
        <v>43466</v>
      </c>
      <c r="B29" s="788" t="s">
        <v>806</v>
      </c>
      <c r="C29" s="789">
        <f t="shared" si="3"/>
        <v>4595</v>
      </c>
      <c r="D29" s="789">
        <v>4778</v>
      </c>
      <c r="E29" s="789">
        <v>455</v>
      </c>
      <c r="F29" s="789">
        <f>2467-2</f>
        <v>2465</v>
      </c>
      <c r="G29" s="789">
        <v>268</v>
      </c>
      <c r="H29" s="789">
        <v>66</v>
      </c>
      <c r="I29" s="789">
        <f>410-67</f>
        <v>343</v>
      </c>
      <c r="J29" s="789">
        <f>179-8</f>
        <v>171</v>
      </c>
      <c r="K29" s="789">
        <v>125</v>
      </c>
      <c r="L29" s="789">
        <v>123</v>
      </c>
      <c r="M29" s="789">
        <v>290</v>
      </c>
      <c r="N29" s="790"/>
      <c r="O29" s="789">
        <v>29</v>
      </c>
      <c r="P29" s="789">
        <v>14</v>
      </c>
      <c r="Q29" s="789">
        <v>18</v>
      </c>
      <c r="R29" s="789">
        <v>3</v>
      </c>
      <c r="S29" s="789">
        <v>2</v>
      </c>
      <c r="T29" s="789">
        <v>47</v>
      </c>
      <c r="U29" s="789">
        <v>48</v>
      </c>
      <c r="V29" s="789">
        <v>13</v>
      </c>
      <c r="W29" s="789">
        <v>19</v>
      </c>
      <c r="X29" s="789">
        <v>34</v>
      </c>
      <c r="Y29" s="789">
        <v>23</v>
      </c>
      <c r="Z29" s="789">
        <v>2</v>
      </c>
      <c r="AA29" s="789">
        <v>7</v>
      </c>
      <c r="AB29" s="789"/>
      <c r="AC29" s="789">
        <v>3</v>
      </c>
      <c r="AD29" s="789"/>
      <c r="AE29" s="789">
        <v>1</v>
      </c>
      <c r="AF29" s="790"/>
      <c r="AG29" s="791">
        <v>0</v>
      </c>
      <c r="AH29" s="791">
        <v>0</v>
      </c>
      <c r="AI29" s="791">
        <v>0</v>
      </c>
      <c r="AJ29" s="791">
        <v>26</v>
      </c>
      <c r="AK29" s="791">
        <v>0</v>
      </c>
      <c r="AL29" s="791">
        <v>0</v>
      </c>
      <c r="AO29">
        <f t="shared" si="1"/>
        <v>26</v>
      </c>
      <c r="AP29">
        <f t="shared" si="2"/>
        <v>0</v>
      </c>
    </row>
    <row r="30" spans="1:39" ht="14.5">
      <c r="A30" s="920"/>
      <c r="B30" s="793" t="s">
        <v>28</v>
      </c>
      <c r="C30" s="794">
        <f t="shared" si="3"/>
        <v>244.05399999999997</v>
      </c>
      <c r="D30" s="794">
        <v>257.37799999999999</v>
      </c>
      <c r="E30" s="794">
        <f>E29*E$4/1000</f>
        <v>11.375</v>
      </c>
      <c r="F30" s="794">
        <f t="shared" si="375" ref="F30">F29*F$4/1000</f>
        <v>88.739999999999995</v>
      </c>
      <c r="G30" s="794">
        <f t="shared" si="376" ref="G30">G29*G$4/1000</f>
        <v>13.667999999999999</v>
      </c>
      <c r="H30" s="794">
        <f t="shared" si="377" ref="H30">H29*H$4/1000</f>
        <v>3.4319999999999999</v>
      </c>
      <c r="I30" s="794">
        <f t="shared" si="378" ref="I30">I29*I$4/1000</f>
        <v>24.696000000000002</v>
      </c>
      <c r="J30" s="794">
        <f t="shared" si="379" ref="J30">J29*J$4/1000</f>
        <v>12.824999999999999</v>
      </c>
      <c r="K30" s="794">
        <f t="shared" si="380" ref="K30">K29*K$4/1000</f>
        <v>11.5</v>
      </c>
      <c r="L30" s="794">
        <f t="shared" si="381" ref="L30">L29*L$4/1000</f>
        <v>12.669000000000001</v>
      </c>
      <c r="M30" s="794">
        <f t="shared" si="382" ref="M30">M29*M$4/1000</f>
        <v>41.469999999999999</v>
      </c>
      <c r="N30" s="794">
        <f t="shared" si="383" ref="N30">N29*N$4/1000</f>
        <v>0</v>
      </c>
      <c r="O30" s="794">
        <f t="shared" si="384" ref="O30">O29*O$4/1000</f>
        <v>0.87</v>
      </c>
      <c r="P30" s="794">
        <f t="shared" si="385" ref="P30">P29*P$4/1000</f>
        <v>0.58799999999999997</v>
      </c>
      <c r="Q30" s="794">
        <f t="shared" si="386" ref="Q30">Q29*Q$4/1000</f>
        <v>0.91800000000000004</v>
      </c>
      <c r="R30" s="794">
        <f t="shared" si="387" ref="R30">R29*R$4/1000</f>
        <v>0.159</v>
      </c>
      <c r="S30" s="794">
        <f t="shared" si="388" ref="S30">S29*S$4/1000</f>
        <v>0.12</v>
      </c>
      <c r="T30" s="794">
        <f t="shared" si="389" ref="T30">T29*T$4/1000</f>
        <v>3.29</v>
      </c>
      <c r="U30" s="794">
        <f t="shared" si="390" ref="U30">U29*U$4/1000</f>
        <v>3.4079999999999999</v>
      </c>
      <c r="V30" s="794">
        <f t="shared" si="391" ref="V30">V29*V$4/1000</f>
        <v>0.93600000000000005</v>
      </c>
      <c r="W30" s="794">
        <f t="shared" si="392" ref="W30">W29*W$4/1000</f>
        <v>1.425</v>
      </c>
      <c r="X30" s="794">
        <f t="shared" si="393" ref="X30">X29*X$4/1000</f>
        <v>2.7200000000000002</v>
      </c>
      <c r="Y30" s="794">
        <f t="shared" si="394" ref="Y30">Y29*Y$4/1000</f>
        <v>2.1389999999999998</v>
      </c>
      <c r="Z30" s="794">
        <f t="shared" si="395" ref="Z30">Z29*Z$4/1000</f>
        <v>0.188</v>
      </c>
      <c r="AA30" s="794">
        <f t="shared" si="396" ref="AA30">AA29*AA$4/1000</f>
        <v>0.71399999999999997</v>
      </c>
      <c r="AB30" s="794">
        <f t="shared" si="397" ref="AB30">AB29*AB$4/1000</f>
        <v>0</v>
      </c>
      <c r="AC30" s="794">
        <f t="shared" si="398" ref="AC30">AC29*AC$4/1000</f>
        <v>0.45000000000000001</v>
      </c>
      <c r="AD30" s="794">
        <f t="shared" si="399" ref="AD30">AD29*AD$4/1000</f>
        <v>0</v>
      </c>
      <c r="AE30" s="794">
        <f t="shared" si="400" ref="AE30">AE29*AE$4/1000</f>
        <v>0.16400000000000001</v>
      </c>
      <c r="AF30" s="790"/>
      <c r="AG30" s="794">
        <f t="shared" si="401" ref="AG30">AG29*AG$4/1000</f>
        <v>0</v>
      </c>
      <c r="AH30" s="794">
        <f t="shared" si="402" ref="AH30">AH29*AH$4/1000</f>
        <v>0</v>
      </c>
      <c r="AI30" s="794">
        <f t="shared" si="403" ref="AI30">AI29*AI$4/1000</f>
        <v>0</v>
      </c>
      <c r="AJ30" s="794">
        <f t="shared" si="404" ref="AJ30">AJ29*AJ$4/1000</f>
        <v>5.5899999999999999</v>
      </c>
      <c r="AK30" s="794">
        <f t="shared" si="405" ref="AK30">AK29*AK$4/1000</f>
        <v>0</v>
      </c>
      <c r="AL30" s="794">
        <f t="shared" si="406" ref="AL30">AL29*AL$4/1000</f>
        <v>0</v>
      </c>
      <c r="AM30" s="794">
        <f t="shared" si="407" ref="AM30">AM29*AM$4/1000</f>
        <v>0</v>
      </c>
    </row>
    <row r="31" spans="1:42" ht="14.5">
      <c r="A31" s="920">
        <v>43435</v>
      </c>
      <c r="B31" s="788" t="s">
        <v>806</v>
      </c>
      <c r="C31" s="789">
        <f t="shared" si="3"/>
        <v>4595</v>
      </c>
      <c r="D31" s="789">
        <v>4778</v>
      </c>
      <c r="E31" s="789">
        <v>455</v>
      </c>
      <c r="F31" s="789">
        <f>2467-2</f>
        <v>2465</v>
      </c>
      <c r="G31" s="789">
        <v>268</v>
      </c>
      <c r="H31" s="789">
        <v>66</v>
      </c>
      <c r="I31" s="789">
        <f>410-67</f>
        <v>343</v>
      </c>
      <c r="J31" s="789">
        <f>179-8</f>
        <v>171</v>
      </c>
      <c r="K31" s="789">
        <v>125</v>
      </c>
      <c r="L31" s="789">
        <v>123</v>
      </c>
      <c r="M31" s="789">
        <v>290</v>
      </c>
      <c r="N31" s="790"/>
      <c r="O31" s="789">
        <v>29</v>
      </c>
      <c r="P31" s="789">
        <v>14</v>
      </c>
      <c r="Q31" s="789">
        <v>18</v>
      </c>
      <c r="R31" s="789">
        <v>3</v>
      </c>
      <c r="S31" s="789">
        <v>2</v>
      </c>
      <c r="T31" s="789">
        <v>47</v>
      </c>
      <c r="U31" s="789">
        <v>48</v>
      </c>
      <c r="V31" s="789">
        <v>13</v>
      </c>
      <c r="W31" s="789">
        <v>19</v>
      </c>
      <c r="X31" s="789">
        <v>34</v>
      </c>
      <c r="Y31" s="789">
        <v>23</v>
      </c>
      <c r="Z31" s="789">
        <v>2</v>
      </c>
      <c r="AA31" s="789">
        <v>7</v>
      </c>
      <c r="AB31" s="789"/>
      <c r="AC31" s="789">
        <v>3</v>
      </c>
      <c r="AD31" s="789"/>
      <c r="AE31" s="789">
        <v>1</v>
      </c>
      <c r="AF31" s="790"/>
      <c r="AG31" s="791">
        <v>0</v>
      </c>
      <c r="AH31" s="791">
        <v>0</v>
      </c>
      <c r="AI31" s="791">
        <v>0</v>
      </c>
      <c r="AJ31" s="791">
        <v>26</v>
      </c>
      <c r="AK31" s="791">
        <v>0</v>
      </c>
      <c r="AL31" s="791">
        <v>0</v>
      </c>
      <c r="AO31">
        <f t="shared" si="1"/>
        <v>26</v>
      </c>
      <c r="AP31">
        <f t="shared" si="2"/>
        <v>0</v>
      </c>
    </row>
    <row r="32" spans="1:39" ht="14.5">
      <c r="A32" s="920"/>
      <c r="B32" s="793" t="s">
        <v>28</v>
      </c>
      <c r="C32" s="794">
        <f t="shared" si="3"/>
        <v>244.05399999999997</v>
      </c>
      <c r="D32" s="794">
        <v>257.37799999999999</v>
      </c>
      <c r="E32" s="794">
        <f>E31*E$4/1000</f>
        <v>11.375</v>
      </c>
      <c r="F32" s="794">
        <f t="shared" si="408" ref="F32">F31*F$4/1000</f>
        <v>88.739999999999995</v>
      </c>
      <c r="G32" s="794">
        <f t="shared" si="409" ref="G32">G31*G$4/1000</f>
        <v>13.667999999999999</v>
      </c>
      <c r="H32" s="794">
        <f t="shared" si="410" ref="H32">H31*H$4/1000</f>
        <v>3.4319999999999999</v>
      </c>
      <c r="I32" s="794">
        <f t="shared" si="411" ref="I32">I31*I$4/1000</f>
        <v>24.696000000000002</v>
      </c>
      <c r="J32" s="794">
        <f t="shared" si="412" ref="J32">J31*J$4/1000</f>
        <v>12.824999999999999</v>
      </c>
      <c r="K32" s="794">
        <f t="shared" si="413" ref="K32">K31*K$4/1000</f>
        <v>11.5</v>
      </c>
      <c r="L32" s="794">
        <f t="shared" si="414" ref="L32">L31*L$4/1000</f>
        <v>12.669000000000001</v>
      </c>
      <c r="M32" s="794">
        <f t="shared" si="415" ref="M32">M31*M$4/1000</f>
        <v>41.469999999999999</v>
      </c>
      <c r="N32" s="794">
        <f t="shared" si="416" ref="N32">N31*N$4/1000</f>
        <v>0</v>
      </c>
      <c r="O32" s="794">
        <f t="shared" si="417" ref="O32">O31*O$4/1000</f>
        <v>0.87</v>
      </c>
      <c r="P32" s="794">
        <f t="shared" si="418" ref="P32">P31*P$4/1000</f>
        <v>0.58799999999999997</v>
      </c>
      <c r="Q32" s="794">
        <f t="shared" si="419" ref="Q32">Q31*Q$4/1000</f>
        <v>0.91800000000000004</v>
      </c>
      <c r="R32" s="794">
        <f t="shared" si="420" ref="R32">R31*R$4/1000</f>
        <v>0.159</v>
      </c>
      <c r="S32" s="794">
        <f t="shared" si="421" ref="S32">S31*S$4/1000</f>
        <v>0.12</v>
      </c>
      <c r="T32" s="794">
        <f t="shared" si="422" ref="T32">T31*T$4/1000</f>
        <v>3.29</v>
      </c>
      <c r="U32" s="794">
        <f t="shared" si="423" ref="U32">U31*U$4/1000</f>
        <v>3.4079999999999999</v>
      </c>
      <c r="V32" s="794">
        <f t="shared" si="424" ref="V32">V31*V$4/1000</f>
        <v>0.93600000000000005</v>
      </c>
      <c r="W32" s="794">
        <f t="shared" si="425" ref="W32">W31*W$4/1000</f>
        <v>1.425</v>
      </c>
      <c r="X32" s="794">
        <f t="shared" si="426" ref="X32">X31*X$4/1000</f>
        <v>2.7200000000000002</v>
      </c>
      <c r="Y32" s="794">
        <f t="shared" si="427" ref="Y32">Y31*Y$4/1000</f>
        <v>2.1389999999999998</v>
      </c>
      <c r="Z32" s="794">
        <f t="shared" si="428" ref="Z32">Z31*Z$4/1000</f>
        <v>0.188</v>
      </c>
      <c r="AA32" s="794">
        <f t="shared" si="429" ref="AA32">AA31*AA$4/1000</f>
        <v>0.71399999999999997</v>
      </c>
      <c r="AB32" s="794">
        <f t="shared" si="430" ref="AB32">AB31*AB$4/1000</f>
        <v>0</v>
      </c>
      <c r="AC32" s="794">
        <f t="shared" si="431" ref="AC32">AC31*AC$4/1000</f>
        <v>0.45000000000000001</v>
      </c>
      <c r="AD32" s="794">
        <f t="shared" si="432" ref="AD32">AD31*AD$4/1000</f>
        <v>0</v>
      </c>
      <c r="AE32" s="794">
        <f t="shared" si="433" ref="AE32">AE31*AE$4/1000</f>
        <v>0.16400000000000001</v>
      </c>
      <c r="AF32" s="790"/>
      <c r="AG32" s="794">
        <f t="shared" si="434" ref="AG32">AG31*AG$4/1000</f>
        <v>0</v>
      </c>
      <c r="AH32" s="794">
        <f t="shared" si="435" ref="AH32">AH31*AH$4/1000</f>
        <v>0</v>
      </c>
      <c r="AI32" s="794">
        <f t="shared" si="436" ref="AI32">AI31*AI$4/1000</f>
        <v>0</v>
      </c>
      <c r="AJ32" s="794">
        <f t="shared" si="437" ref="AJ32">AJ31*AJ$4/1000</f>
        <v>5.5899999999999999</v>
      </c>
      <c r="AK32" s="794">
        <f t="shared" si="438" ref="AK32">AK31*AK$4/1000</f>
        <v>0</v>
      </c>
      <c r="AL32" s="794">
        <f t="shared" si="439" ref="AL32">AL31*AL$4/1000</f>
        <v>0</v>
      </c>
      <c r="AM32" s="794">
        <f t="shared" si="440" ref="AM32">AM31*AM$4/1000</f>
        <v>0</v>
      </c>
    </row>
    <row r="33" spans="1:42" ht="14.5">
      <c r="A33" s="920">
        <v>43405</v>
      </c>
      <c r="B33" s="788" t="s">
        <v>806</v>
      </c>
      <c r="C33" s="789">
        <f t="shared" si="3"/>
        <v>4595</v>
      </c>
      <c r="D33" s="789">
        <v>4778</v>
      </c>
      <c r="E33" s="789">
        <v>455</v>
      </c>
      <c r="F33" s="789">
        <f>2467-2</f>
        <v>2465</v>
      </c>
      <c r="G33" s="789">
        <v>268</v>
      </c>
      <c r="H33" s="789">
        <v>66</v>
      </c>
      <c r="I33" s="789">
        <f>410-67</f>
        <v>343</v>
      </c>
      <c r="J33" s="789">
        <f>179-8</f>
        <v>171</v>
      </c>
      <c r="K33" s="789">
        <v>125</v>
      </c>
      <c r="L33" s="789">
        <v>123</v>
      </c>
      <c r="M33" s="789">
        <v>290</v>
      </c>
      <c r="N33" s="790"/>
      <c r="O33" s="789">
        <v>29</v>
      </c>
      <c r="P33" s="789">
        <v>14</v>
      </c>
      <c r="Q33" s="789">
        <v>18</v>
      </c>
      <c r="R33" s="789">
        <v>3</v>
      </c>
      <c r="S33" s="789">
        <v>2</v>
      </c>
      <c r="T33" s="789">
        <v>47</v>
      </c>
      <c r="U33" s="789">
        <v>48</v>
      </c>
      <c r="V33" s="789">
        <v>13</v>
      </c>
      <c r="W33" s="789">
        <v>19</v>
      </c>
      <c r="X33" s="789">
        <v>34</v>
      </c>
      <c r="Y33" s="789">
        <v>23</v>
      </c>
      <c r="Z33" s="789">
        <v>2</v>
      </c>
      <c r="AA33" s="789">
        <v>7</v>
      </c>
      <c r="AB33" s="789"/>
      <c r="AC33" s="789">
        <v>3</v>
      </c>
      <c r="AD33" s="789"/>
      <c r="AE33" s="789">
        <v>1</v>
      </c>
      <c r="AF33" s="790"/>
      <c r="AG33" s="791">
        <v>0</v>
      </c>
      <c r="AH33" s="791">
        <v>0</v>
      </c>
      <c r="AI33" s="791">
        <v>0</v>
      </c>
      <c r="AJ33" s="791">
        <v>26</v>
      </c>
      <c r="AK33" s="791">
        <v>0</v>
      </c>
      <c r="AL33" s="791">
        <v>0</v>
      </c>
      <c r="AO33">
        <f t="shared" si="1"/>
        <v>26</v>
      </c>
      <c r="AP33">
        <f t="shared" si="2"/>
        <v>0</v>
      </c>
    </row>
    <row r="34" spans="1:39" ht="14.5">
      <c r="A34" s="920"/>
      <c r="B34" s="793" t="s">
        <v>28</v>
      </c>
      <c r="C34" s="794">
        <f t="shared" si="3"/>
        <v>244.05399999999997</v>
      </c>
      <c r="D34" s="794">
        <v>257.37799999999999</v>
      </c>
      <c r="E34" s="794">
        <f>E33*E$4/1000</f>
        <v>11.375</v>
      </c>
      <c r="F34" s="794">
        <f t="shared" si="441" ref="F34">F33*F$4/1000</f>
        <v>88.739999999999995</v>
      </c>
      <c r="G34" s="794">
        <f t="shared" si="442" ref="G34">G33*G$4/1000</f>
        <v>13.667999999999999</v>
      </c>
      <c r="H34" s="794">
        <f t="shared" si="443" ref="H34">H33*H$4/1000</f>
        <v>3.4319999999999999</v>
      </c>
      <c r="I34" s="794">
        <f t="shared" si="444" ref="I34">I33*I$4/1000</f>
        <v>24.696000000000002</v>
      </c>
      <c r="J34" s="794">
        <f t="shared" si="445" ref="J34">J33*J$4/1000</f>
        <v>12.824999999999999</v>
      </c>
      <c r="K34" s="794">
        <f t="shared" si="446" ref="K34">K33*K$4/1000</f>
        <v>11.5</v>
      </c>
      <c r="L34" s="794">
        <f t="shared" si="447" ref="L34">L33*L$4/1000</f>
        <v>12.669000000000001</v>
      </c>
      <c r="M34" s="794">
        <f t="shared" si="448" ref="M34">M33*M$4/1000</f>
        <v>41.469999999999999</v>
      </c>
      <c r="N34" s="794">
        <f t="shared" si="449" ref="N34">N33*N$4/1000</f>
        <v>0</v>
      </c>
      <c r="O34" s="794">
        <f t="shared" si="450" ref="O34">O33*O$4/1000</f>
        <v>0.87</v>
      </c>
      <c r="P34" s="794">
        <f t="shared" si="451" ref="P34">P33*P$4/1000</f>
        <v>0.58799999999999997</v>
      </c>
      <c r="Q34" s="794">
        <f t="shared" si="452" ref="Q34">Q33*Q$4/1000</f>
        <v>0.91800000000000004</v>
      </c>
      <c r="R34" s="794">
        <f t="shared" si="453" ref="R34">R33*R$4/1000</f>
        <v>0.159</v>
      </c>
      <c r="S34" s="794">
        <f t="shared" si="454" ref="S34">S33*S$4/1000</f>
        <v>0.12</v>
      </c>
      <c r="T34" s="794">
        <f t="shared" si="455" ref="T34">T33*T$4/1000</f>
        <v>3.29</v>
      </c>
      <c r="U34" s="794">
        <f t="shared" si="456" ref="U34">U33*U$4/1000</f>
        <v>3.4079999999999999</v>
      </c>
      <c r="V34" s="794">
        <f t="shared" si="457" ref="V34">V33*V$4/1000</f>
        <v>0.93600000000000005</v>
      </c>
      <c r="W34" s="794">
        <f t="shared" si="458" ref="W34">W33*W$4/1000</f>
        <v>1.425</v>
      </c>
      <c r="X34" s="794">
        <f t="shared" si="459" ref="X34">X33*X$4/1000</f>
        <v>2.7200000000000002</v>
      </c>
      <c r="Y34" s="794">
        <f t="shared" si="460" ref="Y34">Y33*Y$4/1000</f>
        <v>2.1389999999999998</v>
      </c>
      <c r="Z34" s="794">
        <f t="shared" si="461" ref="Z34">Z33*Z$4/1000</f>
        <v>0.188</v>
      </c>
      <c r="AA34" s="794">
        <f t="shared" si="462" ref="AA34">AA33*AA$4/1000</f>
        <v>0.71399999999999997</v>
      </c>
      <c r="AB34" s="794">
        <f t="shared" si="463" ref="AB34">AB33*AB$4/1000</f>
        <v>0</v>
      </c>
      <c r="AC34" s="794">
        <f t="shared" si="464" ref="AC34">AC33*AC$4/1000</f>
        <v>0.45000000000000001</v>
      </c>
      <c r="AD34" s="794">
        <f t="shared" si="465" ref="AD34">AD33*AD$4/1000</f>
        <v>0</v>
      </c>
      <c r="AE34" s="794">
        <f t="shared" si="466" ref="AE34">AE33*AE$4/1000</f>
        <v>0.16400000000000001</v>
      </c>
      <c r="AF34" s="790"/>
      <c r="AG34" s="794">
        <f t="shared" si="467" ref="AG34">AG33*AG$4/1000</f>
        <v>0</v>
      </c>
      <c r="AH34" s="794">
        <f t="shared" si="468" ref="AH34">AH33*AH$4/1000</f>
        <v>0</v>
      </c>
      <c r="AI34" s="794">
        <f t="shared" si="469" ref="AI34">AI33*AI$4/1000</f>
        <v>0</v>
      </c>
      <c r="AJ34" s="794">
        <f t="shared" si="470" ref="AJ34">AJ33*AJ$4/1000</f>
        <v>5.5899999999999999</v>
      </c>
      <c r="AK34" s="794">
        <f t="shared" si="471" ref="AK34">AK33*AK$4/1000</f>
        <v>0</v>
      </c>
      <c r="AL34" s="794">
        <f t="shared" si="472" ref="AL34">AL33*AL$4/1000</f>
        <v>0</v>
      </c>
      <c r="AM34" s="794">
        <f t="shared" si="473" ref="AM34">AM33*AM$4/1000</f>
        <v>0</v>
      </c>
    </row>
    <row r="35" spans="1:42" ht="14.5">
      <c r="A35" s="918">
        <v>43374</v>
      </c>
      <c r="B35" s="788" t="s">
        <v>806</v>
      </c>
      <c r="C35" s="789">
        <f t="shared" si="3"/>
        <v>4595</v>
      </c>
      <c r="D35" s="789">
        <v>4778</v>
      </c>
      <c r="E35" s="789">
        <v>455</v>
      </c>
      <c r="F35" s="789">
        <f>2467-2</f>
        <v>2465</v>
      </c>
      <c r="G35" s="789">
        <v>268</v>
      </c>
      <c r="H35" s="789">
        <v>66</v>
      </c>
      <c r="I35" s="789">
        <f>410-67</f>
        <v>343</v>
      </c>
      <c r="J35" s="789">
        <f>179-8</f>
        <v>171</v>
      </c>
      <c r="K35" s="789">
        <v>125</v>
      </c>
      <c r="L35" s="789">
        <v>123</v>
      </c>
      <c r="M35" s="789">
        <v>290</v>
      </c>
      <c r="N35" s="790"/>
      <c r="O35" s="789">
        <v>29</v>
      </c>
      <c r="P35" s="789">
        <v>14</v>
      </c>
      <c r="Q35" s="789">
        <v>18</v>
      </c>
      <c r="R35" s="789">
        <v>3</v>
      </c>
      <c r="S35" s="789">
        <v>2</v>
      </c>
      <c r="T35" s="789">
        <v>47</v>
      </c>
      <c r="U35" s="789">
        <v>48</v>
      </c>
      <c r="V35" s="789">
        <v>13</v>
      </c>
      <c r="W35" s="789">
        <v>19</v>
      </c>
      <c r="X35" s="789">
        <v>34</v>
      </c>
      <c r="Y35" s="789">
        <v>23</v>
      </c>
      <c r="Z35" s="789">
        <v>2</v>
      </c>
      <c r="AA35" s="789">
        <v>7</v>
      </c>
      <c r="AB35" s="789"/>
      <c r="AC35" s="789">
        <v>3</v>
      </c>
      <c r="AD35" s="789"/>
      <c r="AE35" s="789">
        <v>1</v>
      </c>
      <c r="AF35" s="790"/>
      <c r="AG35" s="791">
        <v>0</v>
      </c>
      <c r="AH35" s="791">
        <v>0</v>
      </c>
      <c r="AI35" s="791">
        <v>0</v>
      </c>
      <c r="AJ35" s="791">
        <v>26</v>
      </c>
      <c r="AK35" s="791">
        <v>0</v>
      </c>
      <c r="AL35" s="791">
        <v>0</v>
      </c>
      <c r="AO35">
        <f t="shared" si="1"/>
        <v>26</v>
      </c>
      <c r="AP35">
        <f t="shared" si="2"/>
        <v>0</v>
      </c>
    </row>
    <row r="36" spans="1:39" ht="14.5">
      <c r="A36" s="919"/>
      <c r="B36" s="793" t="s">
        <v>28</v>
      </c>
      <c r="C36" s="794">
        <f t="shared" si="3"/>
        <v>244.05399999999997</v>
      </c>
      <c r="D36" s="794">
        <v>257.37799999999999</v>
      </c>
      <c r="E36" s="794">
        <f>E35*E$4/1000</f>
        <v>11.375</v>
      </c>
      <c r="F36" s="794">
        <f t="shared" si="474" ref="F36">F35*F$4/1000</f>
        <v>88.739999999999995</v>
      </c>
      <c r="G36" s="794">
        <f t="shared" si="475" ref="G36">G35*G$4/1000</f>
        <v>13.667999999999999</v>
      </c>
      <c r="H36" s="794">
        <f t="shared" si="476" ref="H36">H35*H$4/1000</f>
        <v>3.4319999999999999</v>
      </c>
      <c r="I36" s="794">
        <f t="shared" si="477" ref="I36">I35*I$4/1000</f>
        <v>24.696000000000002</v>
      </c>
      <c r="J36" s="794">
        <f t="shared" si="478" ref="J36">J35*J$4/1000</f>
        <v>12.824999999999999</v>
      </c>
      <c r="K36" s="794">
        <f t="shared" si="479" ref="K36">K35*K$4/1000</f>
        <v>11.5</v>
      </c>
      <c r="L36" s="794">
        <f t="shared" si="480" ref="L36">L35*L$4/1000</f>
        <v>12.669000000000001</v>
      </c>
      <c r="M36" s="794">
        <f t="shared" si="481" ref="M36">M35*M$4/1000</f>
        <v>41.469999999999999</v>
      </c>
      <c r="N36" s="794">
        <f t="shared" si="482" ref="N36">N35*N$4/1000</f>
        <v>0</v>
      </c>
      <c r="O36" s="794">
        <f t="shared" si="483" ref="O36">O35*O$4/1000</f>
        <v>0.87</v>
      </c>
      <c r="P36" s="794">
        <f t="shared" si="484" ref="P36">P35*P$4/1000</f>
        <v>0.58799999999999997</v>
      </c>
      <c r="Q36" s="794">
        <f t="shared" si="485" ref="Q36">Q35*Q$4/1000</f>
        <v>0.91800000000000004</v>
      </c>
      <c r="R36" s="794">
        <f t="shared" si="486" ref="R36">R35*R$4/1000</f>
        <v>0.159</v>
      </c>
      <c r="S36" s="794">
        <f t="shared" si="487" ref="S36">S35*S$4/1000</f>
        <v>0.12</v>
      </c>
      <c r="T36" s="794">
        <f t="shared" si="488" ref="T36">T35*T$4/1000</f>
        <v>3.29</v>
      </c>
      <c r="U36" s="794">
        <f t="shared" si="489" ref="U36">U35*U$4/1000</f>
        <v>3.4079999999999999</v>
      </c>
      <c r="V36" s="794">
        <f t="shared" si="490" ref="V36">V35*V$4/1000</f>
        <v>0.93600000000000005</v>
      </c>
      <c r="W36" s="794">
        <f t="shared" si="491" ref="W36">W35*W$4/1000</f>
        <v>1.425</v>
      </c>
      <c r="X36" s="794">
        <f t="shared" si="492" ref="X36">X35*X$4/1000</f>
        <v>2.7200000000000002</v>
      </c>
      <c r="Y36" s="794">
        <f t="shared" si="493" ref="Y36">Y35*Y$4/1000</f>
        <v>2.1389999999999998</v>
      </c>
      <c r="Z36" s="794">
        <f t="shared" si="494" ref="Z36">Z35*Z$4/1000</f>
        <v>0.188</v>
      </c>
      <c r="AA36" s="794">
        <f t="shared" si="495" ref="AA36">AA35*AA$4/1000</f>
        <v>0.71399999999999997</v>
      </c>
      <c r="AB36" s="794">
        <f t="shared" si="496" ref="AB36">AB35*AB$4/1000</f>
        <v>0</v>
      </c>
      <c r="AC36" s="794">
        <f t="shared" si="497" ref="AC36">AC35*AC$4/1000</f>
        <v>0.45000000000000001</v>
      </c>
      <c r="AD36" s="794">
        <f t="shared" si="498" ref="AD36">AD35*AD$4/1000</f>
        <v>0</v>
      </c>
      <c r="AE36" s="794">
        <f t="shared" si="499" ref="AE36">AE35*AE$4/1000</f>
        <v>0.16400000000000001</v>
      </c>
      <c r="AF36" s="790"/>
      <c r="AG36" s="794">
        <f t="shared" si="500" ref="AG36">AG35*AG$4/1000</f>
        <v>0</v>
      </c>
      <c r="AH36" s="794">
        <f t="shared" si="501" ref="AH36">AH35*AH$4/1000</f>
        <v>0</v>
      </c>
      <c r="AI36" s="794">
        <f t="shared" si="502" ref="AI36">AI35*AI$4/1000</f>
        <v>0</v>
      </c>
      <c r="AJ36" s="794">
        <f t="shared" si="503" ref="AJ36">AJ35*AJ$4/1000</f>
        <v>5.5899999999999999</v>
      </c>
      <c r="AK36" s="794">
        <f t="shared" si="504" ref="AK36">AK35*AK$4/1000</f>
        <v>0</v>
      </c>
      <c r="AL36" s="794">
        <f t="shared" si="505" ref="AL36">AL35*AL$4/1000</f>
        <v>0</v>
      </c>
      <c r="AM36" s="794">
        <f t="shared" si="506" ref="AM36">AM35*AM$4/1000</f>
        <v>0</v>
      </c>
    </row>
    <row r="37" spans="1:42" ht="14.5">
      <c r="A37" s="918">
        <v>43344</v>
      </c>
      <c r="B37" s="788" t="s">
        <v>806</v>
      </c>
      <c r="C37" s="789">
        <f t="shared" si="3"/>
        <v>4595</v>
      </c>
      <c r="D37" s="789">
        <v>4778</v>
      </c>
      <c r="E37" s="789">
        <v>455</v>
      </c>
      <c r="F37" s="789">
        <f>2467-2</f>
        <v>2465</v>
      </c>
      <c r="G37" s="789">
        <v>268</v>
      </c>
      <c r="H37" s="789">
        <v>66</v>
      </c>
      <c r="I37" s="789">
        <f>410-67</f>
        <v>343</v>
      </c>
      <c r="J37" s="789">
        <f>179-8</f>
        <v>171</v>
      </c>
      <c r="K37" s="789">
        <v>125</v>
      </c>
      <c r="L37" s="789">
        <v>123</v>
      </c>
      <c r="M37" s="789">
        <v>290</v>
      </c>
      <c r="N37" s="790"/>
      <c r="O37" s="789">
        <v>29</v>
      </c>
      <c r="P37" s="789">
        <v>14</v>
      </c>
      <c r="Q37" s="789">
        <v>18</v>
      </c>
      <c r="R37" s="789">
        <v>3</v>
      </c>
      <c r="S37" s="789">
        <v>2</v>
      </c>
      <c r="T37" s="789">
        <v>47</v>
      </c>
      <c r="U37" s="789">
        <v>48</v>
      </c>
      <c r="V37" s="789">
        <v>13</v>
      </c>
      <c r="W37" s="789">
        <v>19</v>
      </c>
      <c r="X37" s="789">
        <v>34</v>
      </c>
      <c r="Y37" s="789">
        <v>23</v>
      </c>
      <c r="Z37" s="789">
        <v>2</v>
      </c>
      <c r="AA37" s="789">
        <v>7</v>
      </c>
      <c r="AB37" s="789"/>
      <c r="AC37" s="789">
        <v>3</v>
      </c>
      <c r="AD37" s="789"/>
      <c r="AE37" s="789">
        <v>1</v>
      </c>
      <c r="AF37" s="790"/>
      <c r="AG37" s="791">
        <v>0</v>
      </c>
      <c r="AH37" s="791">
        <v>0</v>
      </c>
      <c r="AI37" s="791">
        <v>0</v>
      </c>
      <c r="AJ37" s="791">
        <v>26</v>
      </c>
      <c r="AK37" s="791">
        <v>0</v>
      </c>
      <c r="AL37" s="791">
        <v>0</v>
      </c>
      <c r="AO37">
        <f t="shared" si="1"/>
        <v>26</v>
      </c>
      <c r="AP37">
        <f t="shared" si="2"/>
        <v>0</v>
      </c>
    </row>
    <row r="38" spans="1:39" ht="14.5">
      <c r="A38" s="919"/>
      <c r="B38" s="793" t="s">
        <v>28</v>
      </c>
      <c r="C38" s="794">
        <f t="shared" si="3"/>
        <v>244.05399999999997</v>
      </c>
      <c r="D38" s="794">
        <v>257.37799999999999</v>
      </c>
      <c r="E38" s="794">
        <f>E37*E$4/1000</f>
        <v>11.375</v>
      </c>
      <c r="F38" s="794">
        <f t="shared" si="507" ref="F38">F37*F$4/1000</f>
        <v>88.739999999999995</v>
      </c>
      <c r="G38" s="794">
        <f t="shared" si="508" ref="G38">G37*G$4/1000</f>
        <v>13.667999999999999</v>
      </c>
      <c r="H38" s="794">
        <f t="shared" si="509" ref="H38">H37*H$4/1000</f>
        <v>3.4319999999999999</v>
      </c>
      <c r="I38" s="794">
        <f t="shared" si="510" ref="I38">I37*I$4/1000</f>
        <v>24.696000000000002</v>
      </c>
      <c r="J38" s="794">
        <f t="shared" si="511" ref="J38">J37*J$4/1000</f>
        <v>12.824999999999999</v>
      </c>
      <c r="K38" s="794">
        <f t="shared" si="512" ref="K38">K37*K$4/1000</f>
        <v>11.5</v>
      </c>
      <c r="L38" s="794">
        <f t="shared" si="513" ref="L38">L37*L$4/1000</f>
        <v>12.669000000000001</v>
      </c>
      <c r="M38" s="794">
        <f t="shared" si="514" ref="M38">M37*M$4/1000</f>
        <v>41.469999999999999</v>
      </c>
      <c r="N38" s="794">
        <f t="shared" si="515" ref="N38">N37*N$4/1000</f>
        <v>0</v>
      </c>
      <c r="O38" s="794">
        <f t="shared" si="516" ref="O38">O37*O$4/1000</f>
        <v>0.87</v>
      </c>
      <c r="P38" s="794">
        <f t="shared" si="517" ref="P38">P37*P$4/1000</f>
        <v>0.58799999999999997</v>
      </c>
      <c r="Q38" s="794">
        <f t="shared" si="518" ref="Q38">Q37*Q$4/1000</f>
        <v>0.91800000000000004</v>
      </c>
      <c r="R38" s="794">
        <f t="shared" si="519" ref="R38">R37*R$4/1000</f>
        <v>0.159</v>
      </c>
      <c r="S38" s="794">
        <f t="shared" si="520" ref="S38">S37*S$4/1000</f>
        <v>0.12</v>
      </c>
      <c r="T38" s="794">
        <f t="shared" si="521" ref="T38">T37*T$4/1000</f>
        <v>3.29</v>
      </c>
      <c r="U38" s="794">
        <f t="shared" si="522" ref="U38">U37*U$4/1000</f>
        <v>3.4079999999999999</v>
      </c>
      <c r="V38" s="794">
        <f t="shared" si="523" ref="V38">V37*V$4/1000</f>
        <v>0.93600000000000005</v>
      </c>
      <c r="W38" s="794">
        <f t="shared" si="524" ref="W38">W37*W$4/1000</f>
        <v>1.425</v>
      </c>
      <c r="X38" s="794">
        <f t="shared" si="525" ref="X38">X37*X$4/1000</f>
        <v>2.7200000000000002</v>
      </c>
      <c r="Y38" s="794">
        <f t="shared" si="526" ref="Y38">Y37*Y$4/1000</f>
        <v>2.1389999999999998</v>
      </c>
      <c r="Z38" s="794">
        <f t="shared" si="527" ref="Z38">Z37*Z$4/1000</f>
        <v>0.188</v>
      </c>
      <c r="AA38" s="794">
        <f t="shared" si="528" ref="AA38">AA37*AA$4/1000</f>
        <v>0.71399999999999997</v>
      </c>
      <c r="AB38" s="794">
        <f t="shared" si="529" ref="AB38">AB37*AB$4/1000</f>
        <v>0</v>
      </c>
      <c r="AC38" s="794">
        <f t="shared" si="530" ref="AC38">AC37*AC$4/1000</f>
        <v>0.45000000000000001</v>
      </c>
      <c r="AD38" s="794">
        <f t="shared" si="531" ref="AD38">AD37*AD$4/1000</f>
        <v>0</v>
      </c>
      <c r="AE38" s="794">
        <f t="shared" si="532" ref="AE38">AE37*AE$4/1000</f>
        <v>0.16400000000000001</v>
      </c>
      <c r="AF38" s="790"/>
      <c r="AG38" s="794">
        <f t="shared" si="533" ref="AG38">AG37*AG$4/1000</f>
        <v>0</v>
      </c>
      <c r="AH38" s="794">
        <f t="shared" si="534" ref="AH38">AH37*AH$4/1000</f>
        <v>0</v>
      </c>
      <c r="AI38" s="794">
        <f t="shared" si="535" ref="AI38">AI37*AI$4/1000</f>
        <v>0</v>
      </c>
      <c r="AJ38" s="794">
        <f t="shared" si="536" ref="AJ38">AJ37*AJ$4/1000</f>
        <v>5.5899999999999999</v>
      </c>
      <c r="AK38" s="794">
        <f t="shared" si="537" ref="AK38">AK37*AK$4/1000</f>
        <v>0</v>
      </c>
      <c r="AL38" s="794">
        <f t="shared" si="538" ref="AL38">AL37*AL$4/1000</f>
        <v>0</v>
      </c>
      <c r="AM38" s="794">
        <f t="shared" si="539" ref="AM38">AM37*AM$4/1000</f>
        <v>0</v>
      </c>
    </row>
    <row r="39" spans="1:42" ht="14.5">
      <c r="A39" s="918">
        <v>43313</v>
      </c>
      <c r="B39" s="788" t="s">
        <v>806</v>
      </c>
      <c r="C39" s="789">
        <f t="shared" si="3"/>
        <v>4595</v>
      </c>
      <c r="D39" s="789">
        <v>4778</v>
      </c>
      <c r="E39" s="789">
        <v>455</v>
      </c>
      <c r="F39" s="789">
        <f>2467-2</f>
        <v>2465</v>
      </c>
      <c r="G39" s="789">
        <v>268</v>
      </c>
      <c r="H39" s="789">
        <v>66</v>
      </c>
      <c r="I39" s="789">
        <f>410-67</f>
        <v>343</v>
      </c>
      <c r="J39" s="789">
        <f>179-8</f>
        <v>171</v>
      </c>
      <c r="K39" s="789">
        <v>125</v>
      </c>
      <c r="L39" s="789">
        <v>123</v>
      </c>
      <c r="M39" s="789">
        <v>290</v>
      </c>
      <c r="N39" s="790"/>
      <c r="O39" s="789">
        <v>29</v>
      </c>
      <c r="P39" s="789">
        <v>14</v>
      </c>
      <c r="Q39" s="789">
        <v>18</v>
      </c>
      <c r="R39" s="789">
        <v>3</v>
      </c>
      <c r="S39" s="789">
        <v>2</v>
      </c>
      <c r="T39" s="789">
        <v>47</v>
      </c>
      <c r="U39" s="789">
        <v>48</v>
      </c>
      <c r="V39" s="789">
        <v>13</v>
      </c>
      <c r="W39" s="789">
        <v>19</v>
      </c>
      <c r="X39" s="789">
        <v>34</v>
      </c>
      <c r="Y39" s="789">
        <v>23</v>
      </c>
      <c r="Z39" s="789">
        <v>2</v>
      </c>
      <c r="AA39" s="789">
        <v>7</v>
      </c>
      <c r="AB39" s="789"/>
      <c r="AC39" s="789">
        <v>3</v>
      </c>
      <c r="AD39" s="789"/>
      <c r="AE39" s="789">
        <v>1</v>
      </c>
      <c r="AF39" s="790"/>
      <c r="AG39" s="791">
        <v>0</v>
      </c>
      <c r="AH39" s="791">
        <v>0</v>
      </c>
      <c r="AI39" s="791">
        <v>0</v>
      </c>
      <c r="AJ39" s="791">
        <v>26</v>
      </c>
      <c r="AK39" s="791">
        <v>0</v>
      </c>
      <c r="AL39" s="791">
        <v>0</v>
      </c>
      <c r="AO39">
        <f t="shared" si="1"/>
        <v>26</v>
      </c>
      <c r="AP39">
        <f t="shared" si="2"/>
        <v>0</v>
      </c>
    </row>
    <row r="40" spans="1:39" ht="14.5">
      <c r="A40" s="919"/>
      <c r="B40" s="793" t="s">
        <v>28</v>
      </c>
      <c r="C40" s="794">
        <f t="shared" si="3"/>
        <v>244.05399999999997</v>
      </c>
      <c r="D40" s="794">
        <v>257.37799999999999</v>
      </c>
      <c r="E40" s="794">
        <f>E39*E$4/1000</f>
        <v>11.375</v>
      </c>
      <c r="F40" s="794">
        <f t="shared" si="540" ref="F40">F39*F$4/1000</f>
        <v>88.739999999999995</v>
      </c>
      <c r="G40" s="794">
        <f t="shared" si="541" ref="G40">G39*G$4/1000</f>
        <v>13.667999999999999</v>
      </c>
      <c r="H40" s="794">
        <f t="shared" si="542" ref="H40">H39*H$4/1000</f>
        <v>3.4319999999999999</v>
      </c>
      <c r="I40" s="794">
        <f t="shared" si="543" ref="I40">I39*I$4/1000</f>
        <v>24.696000000000002</v>
      </c>
      <c r="J40" s="794">
        <f t="shared" si="544" ref="J40">J39*J$4/1000</f>
        <v>12.824999999999999</v>
      </c>
      <c r="K40" s="794">
        <f t="shared" si="545" ref="K40">K39*K$4/1000</f>
        <v>11.5</v>
      </c>
      <c r="L40" s="794">
        <f t="shared" si="546" ref="L40">L39*L$4/1000</f>
        <v>12.669000000000001</v>
      </c>
      <c r="M40" s="794">
        <f t="shared" si="547" ref="M40">M39*M$4/1000</f>
        <v>41.469999999999999</v>
      </c>
      <c r="N40" s="794">
        <f t="shared" si="548" ref="N40">N39*N$4/1000</f>
        <v>0</v>
      </c>
      <c r="O40" s="794">
        <f t="shared" si="549" ref="O40">O39*O$4/1000</f>
        <v>0.87</v>
      </c>
      <c r="P40" s="794">
        <f t="shared" si="550" ref="P40">P39*P$4/1000</f>
        <v>0.58799999999999997</v>
      </c>
      <c r="Q40" s="794">
        <f t="shared" si="551" ref="Q40">Q39*Q$4/1000</f>
        <v>0.91800000000000004</v>
      </c>
      <c r="R40" s="794">
        <f t="shared" si="552" ref="R40">R39*R$4/1000</f>
        <v>0.159</v>
      </c>
      <c r="S40" s="794">
        <f t="shared" si="553" ref="S40">S39*S$4/1000</f>
        <v>0.12</v>
      </c>
      <c r="T40" s="794">
        <f t="shared" si="554" ref="T40">T39*T$4/1000</f>
        <v>3.29</v>
      </c>
      <c r="U40" s="794">
        <f t="shared" si="555" ref="U40">U39*U$4/1000</f>
        <v>3.4079999999999999</v>
      </c>
      <c r="V40" s="794">
        <f t="shared" si="556" ref="V40">V39*V$4/1000</f>
        <v>0.93600000000000005</v>
      </c>
      <c r="W40" s="794">
        <f t="shared" si="557" ref="W40">W39*W$4/1000</f>
        <v>1.425</v>
      </c>
      <c r="X40" s="794">
        <f t="shared" si="558" ref="X40">X39*X$4/1000</f>
        <v>2.7200000000000002</v>
      </c>
      <c r="Y40" s="794">
        <f t="shared" si="559" ref="Y40">Y39*Y$4/1000</f>
        <v>2.1389999999999998</v>
      </c>
      <c r="Z40" s="794">
        <f t="shared" si="560" ref="Z40">Z39*Z$4/1000</f>
        <v>0.188</v>
      </c>
      <c r="AA40" s="794">
        <f t="shared" si="561" ref="AA40">AA39*AA$4/1000</f>
        <v>0.71399999999999997</v>
      </c>
      <c r="AB40" s="794">
        <f t="shared" si="562" ref="AB40">AB39*AB$4/1000</f>
        <v>0</v>
      </c>
      <c r="AC40" s="794">
        <f t="shared" si="563" ref="AC40">AC39*AC$4/1000</f>
        <v>0.45000000000000001</v>
      </c>
      <c r="AD40" s="794">
        <f t="shared" si="564" ref="AD40">AD39*AD$4/1000</f>
        <v>0</v>
      </c>
      <c r="AE40" s="794">
        <f t="shared" si="565" ref="AE40">AE39*AE$4/1000</f>
        <v>0.16400000000000001</v>
      </c>
      <c r="AF40" s="790"/>
      <c r="AG40" s="794">
        <f t="shared" si="566" ref="AG40">AG39*AG$4/1000</f>
        <v>0</v>
      </c>
      <c r="AH40" s="794">
        <f t="shared" si="567" ref="AH40">AH39*AH$4/1000</f>
        <v>0</v>
      </c>
      <c r="AI40" s="794">
        <f t="shared" si="568" ref="AI40">AI39*AI$4/1000</f>
        <v>0</v>
      </c>
      <c r="AJ40" s="794">
        <f t="shared" si="569" ref="AJ40">AJ39*AJ$4/1000</f>
        <v>5.5899999999999999</v>
      </c>
      <c r="AK40" s="794">
        <f t="shared" si="570" ref="AK40">AK39*AK$4/1000</f>
        <v>0</v>
      </c>
      <c r="AL40" s="794">
        <f t="shared" si="571" ref="AL40">AL39*AL$4/1000</f>
        <v>0</v>
      </c>
      <c r="AM40" s="794">
        <f t="shared" si="572" ref="AM40">AM39*AM$4/1000</f>
        <v>0</v>
      </c>
    </row>
    <row r="41" spans="1:42" ht="14.5">
      <c r="A41" s="918">
        <v>43282</v>
      </c>
      <c r="B41" s="788" t="s">
        <v>806</v>
      </c>
      <c r="C41" s="789">
        <f t="shared" si="3"/>
        <v>4595</v>
      </c>
      <c r="D41" s="789">
        <v>4676</v>
      </c>
      <c r="E41" s="789">
        <v>455</v>
      </c>
      <c r="F41" s="789">
        <f>2467-2</f>
        <v>2465</v>
      </c>
      <c r="G41" s="789">
        <v>268</v>
      </c>
      <c r="H41" s="789">
        <v>66</v>
      </c>
      <c r="I41" s="789">
        <f>410-67</f>
        <v>343</v>
      </c>
      <c r="J41" s="789">
        <f>179-8</f>
        <v>171</v>
      </c>
      <c r="K41" s="789">
        <v>125</v>
      </c>
      <c r="L41" s="789">
        <v>123</v>
      </c>
      <c r="M41" s="789">
        <v>290</v>
      </c>
      <c r="N41" s="790"/>
      <c r="O41" s="789">
        <v>29</v>
      </c>
      <c r="P41" s="789">
        <v>14</v>
      </c>
      <c r="Q41" s="789">
        <v>18</v>
      </c>
      <c r="R41" s="789">
        <v>3</v>
      </c>
      <c r="S41" s="789">
        <v>2</v>
      </c>
      <c r="T41" s="789">
        <v>47</v>
      </c>
      <c r="U41" s="789">
        <v>48</v>
      </c>
      <c r="V41" s="789">
        <v>13</v>
      </c>
      <c r="W41" s="789">
        <v>19</v>
      </c>
      <c r="X41" s="789">
        <v>34</v>
      </c>
      <c r="Y41" s="789">
        <v>23</v>
      </c>
      <c r="Z41" s="789">
        <v>2</v>
      </c>
      <c r="AA41" s="789">
        <v>7</v>
      </c>
      <c r="AB41" s="789"/>
      <c r="AC41" s="789">
        <v>3</v>
      </c>
      <c r="AD41" s="789"/>
      <c r="AE41" s="789">
        <v>1</v>
      </c>
      <c r="AF41" s="790"/>
      <c r="AG41" s="791">
        <v>0</v>
      </c>
      <c r="AH41" s="791">
        <v>0</v>
      </c>
      <c r="AI41" s="791">
        <v>0</v>
      </c>
      <c r="AJ41" s="791">
        <v>26</v>
      </c>
      <c r="AK41" s="791">
        <v>0</v>
      </c>
      <c r="AL41" s="791">
        <v>0</v>
      </c>
      <c r="AO41">
        <f t="shared" si="1"/>
        <v>26</v>
      </c>
      <c r="AP41">
        <f t="shared" si="2"/>
        <v>0</v>
      </c>
    </row>
    <row r="42" spans="1:39" ht="14.5">
      <c r="A42" s="919"/>
      <c r="B42" s="793" t="s">
        <v>28</v>
      </c>
      <c r="C42" s="794">
        <f t="shared" si="3"/>
        <v>244.05399999999997</v>
      </c>
      <c r="D42" s="794">
        <v>257.37799999999999</v>
      </c>
      <c r="E42" s="794">
        <f>E41*E$4/1000</f>
        <v>11.375</v>
      </c>
      <c r="F42" s="794">
        <f t="shared" si="573" ref="F42">F41*F$4/1000</f>
        <v>88.739999999999995</v>
      </c>
      <c r="G42" s="794">
        <f t="shared" si="574" ref="G42">G41*G$4/1000</f>
        <v>13.667999999999999</v>
      </c>
      <c r="H42" s="794">
        <f t="shared" si="575" ref="H42">H41*H$4/1000</f>
        <v>3.4319999999999999</v>
      </c>
      <c r="I42" s="794">
        <f t="shared" si="576" ref="I42">I41*I$4/1000</f>
        <v>24.696000000000002</v>
      </c>
      <c r="J42" s="794">
        <f t="shared" si="577" ref="J42">J41*J$4/1000</f>
        <v>12.824999999999999</v>
      </c>
      <c r="K42" s="794">
        <f t="shared" si="578" ref="K42">K41*K$4/1000</f>
        <v>11.5</v>
      </c>
      <c r="L42" s="794">
        <f t="shared" si="579" ref="L42">L41*L$4/1000</f>
        <v>12.669000000000001</v>
      </c>
      <c r="M42" s="794">
        <f t="shared" si="580" ref="M42">M41*M$4/1000</f>
        <v>41.469999999999999</v>
      </c>
      <c r="N42" s="794">
        <f t="shared" si="581" ref="N42">N41*N$4/1000</f>
        <v>0</v>
      </c>
      <c r="O42" s="794">
        <f t="shared" si="582" ref="O42">O41*O$4/1000</f>
        <v>0.87</v>
      </c>
      <c r="P42" s="794">
        <f t="shared" si="583" ref="P42">P41*P$4/1000</f>
        <v>0.58799999999999997</v>
      </c>
      <c r="Q42" s="794">
        <f t="shared" si="584" ref="Q42">Q41*Q$4/1000</f>
        <v>0.91800000000000004</v>
      </c>
      <c r="R42" s="794">
        <f t="shared" si="585" ref="R42">R41*R$4/1000</f>
        <v>0.159</v>
      </c>
      <c r="S42" s="794">
        <f t="shared" si="586" ref="S42">S41*S$4/1000</f>
        <v>0.12</v>
      </c>
      <c r="T42" s="794">
        <f t="shared" si="587" ref="T42">T41*T$4/1000</f>
        <v>3.29</v>
      </c>
      <c r="U42" s="794">
        <f t="shared" si="588" ref="U42">U41*U$4/1000</f>
        <v>3.4079999999999999</v>
      </c>
      <c r="V42" s="794">
        <f t="shared" si="589" ref="V42">V41*V$4/1000</f>
        <v>0.93600000000000005</v>
      </c>
      <c r="W42" s="794">
        <f t="shared" si="590" ref="W42">W41*W$4/1000</f>
        <v>1.425</v>
      </c>
      <c r="X42" s="794">
        <f t="shared" si="591" ref="X42">X41*X$4/1000</f>
        <v>2.7200000000000002</v>
      </c>
      <c r="Y42" s="794">
        <f t="shared" si="592" ref="Y42">Y41*Y$4/1000</f>
        <v>2.1389999999999998</v>
      </c>
      <c r="Z42" s="794">
        <f t="shared" si="593" ref="Z42">Z41*Z$4/1000</f>
        <v>0.188</v>
      </c>
      <c r="AA42" s="794">
        <f t="shared" si="594" ref="AA42">AA41*AA$4/1000</f>
        <v>0.71399999999999997</v>
      </c>
      <c r="AB42" s="794">
        <f t="shared" si="595" ref="AB42">AB41*AB$4/1000</f>
        <v>0</v>
      </c>
      <c r="AC42" s="794">
        <f t="shared" si="596" ref="AC42">AC41*AC$4/1000</f>
        <v>0.45000000000000001</v>
      </c>
      <c r="AD42" s="794">
        <f t="shared" si="597" ref="AD42">AD41*AD$4/1000</f>
        <v>0</v>
      </c>
      <c r="AE42" s="794">
        <f t="shared" si="598" ref="AE42">AE41*AE$4/1000</f>
        <v>0.16400000000000001</v>
      </c>
      <c r="AF42" s="790"/>
      <c r="AG42" s="794">
        <f t="shared" si="599" ref="AG42">AG41*AG$4/1000</f>
        <v>0</v>
      </c>
      <c r="AH42" s="794">
        <f t="shared" si="600" ref="AH42">AH41*AH$4/1000</f>
        <v>0</v>
      </c>
      <c r="AI42" s="794">
        <f t="shared" si="601" ref="AI42">AI41*AI$4/1000</f>
        <v>0</v>
      </c>
      <c r="AJ42" s="794">
        <f t="shared" si="602" ref="AJ42">AJ41*AJ$4/1000</f>
        <v>5.5899999999999999</v>
      </c>
      <c r="AK42" s="794">
        <f t="shared" si="603" ref="AK42">AK41*AK$4/1000</f>
        <v>0</v>
      </c>
      <c r="AL42" s="794">
        <f t="shared" si="604" ref="AL42">AL41*AL$4/1000</f>
        <v>0</v>
      </c>
      <c r="AM42" s="794">
        <f t="shared" si="605" ref="AM42">AM41*AM$4/1000</f>
        <v>0</v>
      </c>
    </row>
    <row r="43" spans="1:42" ht="14.5">
      <c r="A43" s="918">
        <v>43252</v>
      </c>
      <c r="B43" s="788" t="s">
        <v>806</v>
      </c>
      <c r="C43" s="789">
        <f t="shared" si="3"/>
        <v>4595</v>
      </c>
      <c r="D43" s="789">
        <v>4676</v>
      </c>
      <c r="E43" s="789">
        <v>455</v>
      </c>
      <c r="F43" s="789">
        <f>2467-2</f>
        <v>2465</v>
      </c>
      <c r="G43" s="789">
        <v>268</v>
      </c>
      <c r="H43" s="789">
        <v>66</v>
      </c>
      <c r="I43" s="789">
        <f>410-67</f>
        <v>343</v>
      </c>
      <c r="J43" s="789">
        <f>179-8</f>
        <v>171</v>
      </c>
      <c r="K43" s="789">
        <v>125</v>
      </c>
      <c r="L43" s="789">
        <v>123</v>
      </c>
      <c r="M43" s="789">
        <v>290</v>
      </c>
      <c r="N43" s="790"/>
      <c r="O43" s="789">
        <v>29</v>
      </c>
      <c r="P43" s="789">
        <v>14</v>
      </c>
      <c r="Q43" s="789">
        <v>18</v>
      </c>
      <c r="R43" s="789">
        <v>3</v>
      </c>
      <c r="S43" s="789">
        <v>2</v>
      </c>
      <c r="T43" s="789">
        <v>47</v>
      </c>
      <c r="U43" s="789">
        <v>48</v>
      </c>
      <c r="V43" s="789">
        <v>13</v>
      </c>
      <c r="W43" s="789">
        <v>19</v>
      </c>
      <c r="X43" s="789">
        <v>34</v>
      </c>
      <c r="Y43" s="789">
        <v>23</v>
      </c>
      <c r="Z43" s="789">
        <v>2</v>
      </c>
      <c r="AA43" s="789">
        <v>7</v>
      </c>
      <c r="AB43" s="789"/>
      <c r="AC43" s="789">
        <v>3</v>
      </c>
      <c r="AD43" s="789"/>
      <c r="AE43" s="789">
        <v>1</v>
      </c>
      <c r="AF43" s="790"/>
      <c r="AG43" s="791">
        <v>0</v>
      </c>
      <c r="AH43" s="791">
        <v>0</v>
      </c>
      <c r="AI43" s="791">
        <v>0</v>
      </c>
      <c r="AJ43" s="791">
        <v>26</v>
      </c>
      <c r="AK43" s="791">
        <v>0</v>
      </c>
      <c r="AL43" s="791">
        <v>0</v>
      </c>
      <c r="AO43">
        <f t="shared" si="1"/>
        <v>26</v>
      </c>
      <c r="AP43">
        <f t="shared" si="2"/>
        <v>-4</v>
      </c>
    </row>
    <row r="44" spans="1:39" ht="14.5">
      <c r="A44" s="919"/>
      <c r="B44" s="793" t="s">
        <v>28</v>
      </c>
      <c r="C44" s="794">
        <f t="shared" si="3"/>
        <v>244.05399999999997</v>
      </c>
      <c r="D44" s="794">
        <v>257.37799999999999</v>
      </c>
      <c r="E44" s="794">
        <f>E43*E$4/1000</f>
        <v>11.375</v>
      </c>
      <c r="F44" s="794">
        <f t="shared" si="606" ref="F44">F43*F$4/1000</f>
        <v>88.739999999999995</v>
      </c>
      <c r="G44" s="794">
        <f t="shared" si="607" ref="G44">G43*G$4/1000</f>
        <v>13.667999999999999</v>
      </c>
      <c r="H44" s="794">
        <f t="shared" si="608" ref="H44">H43*H$4/1000</f>
        <v>3.4319999999999999</v>
      </c>
      <c r="I44" s="794">
        <f t="shared" si="609" ref="I44">I43*I$4/1000</f>
        <v>24.696000000000002</v>
      </c>
      <c r="J44" s="794">
        <f t="shared" si="610" ref="J44">J43*J$4/1000</f>
        <v>12.824999999999999</v>
      </c>
      <c r="K44" s="794">
        <f t="shared" si="611" ref="K44">K43*K$4/1000</f>
        <v>11.5</v>
      </c>
      <c r="L44" s="794">
        <f t="shared" si="612" ref="L44">L43*L$4/1000</f>
        <v>12.669000000000001</v>
      </c>
      <c r="M44" s="794">
        <f t="shared" si="613" ref="M44">M43*M$4/1000</f>
        <v>41.469999999999999</v>
      </c>
      <c r="N44" s="794">
        <f t="shared" si="614" ref="N44">N43*N$4/1000</f>
        <v>0</v>
      </c>
      <c r="O44" s="794">
        <f t="shared" si="615" ref="O44">O43*O$4/1000</f>
        <v>0.87</v>
      </c>
      <c r="P44" s="794">
        <f t="shared" si="616" ref="P44">P43*P$4/1000</f>
        <v>0.58799999999999997</v>
      </c>
      <c r="Q44" s="794">
        <f t="shared" si="617" ref="Q44">Q43*Q$4/1000</f>
        <v>0.91800000000000004</v>
      </c>
      <c r="R44" s="794">
        <f t="shared" si="618" ref="R44">R43*R$4/1000</f>
        <v>0.159</v>
      </c>
      <c r="S44" s="794">
        <f t="shared" si="619" ref="S44">S43*S$4/1000</f>
        <v>0.12</v>
      </c>
      <c r="T44" s="794">
        <f t="shared" si="620" ref="T44">T43*T$4/1000</f>
        <v>3.29</v>
      </c>
      <c r="U44" s="794">
        <f t="shared" si="621" ref="U44">U43*U$4/1000</f>
        <v>3.4079999999999999</v>
      </c>
      <c r="V44" s="794">
        <f t="shared" si="622" ref="V44">V43*V$4/1000</f>
        <v>0.93600000000000005</v>
      </c>
      <c r="W44" s="794">
        <f t="shared" si="623" ref="W44">W43*W$4/1000</f>
        <v>1.425</v>
      </c>
      <c r="X44" s="794">
        <f t="shared" si="624" ref="X44">X43*X$4/1000</f>
        <v>2.7200000000000002</v>
      </c>
      <c r="Y44" s="794">
        <f t="shared" si="625" ref="Y44">Y43*Y$4/1000</f>
        <v>2.1389999999999998</v>
      </c>
      <c r="Z44" s="794">
        <f t="shared" si="626" ref="Z44">Z43*Z$4/1000</f>
        <v>0.188</v>
      </c>
      <c r="AA44" s="794">
        <f t="shared" si="627" ref="AA44">AA43*AA$4/1000</f>
        <v>0.71399999999999997</v>
      </c>
      <c r="AB44" s="794">
        <f t="shared" si="628" ref="AB44">AB43*AB$4/1000</f>
        <v>0</v>
      </c>
      <c r="AC44" s="794">
        <f t="shared" si="629" ref="AC44">AC43*AC$4/1000</f>
        <v>0.45000000000000001</v>
      </c>
      <c r="AD44" s="794">
        <f t="shared" si="630" ref="AD44">AD43*AD$4/1000</f>
        <v>0</v>
      </c>
      <c r="AE44" s="794">
        <f t="shared" si="631" ref="AE44">AE43*AE$4/1000</f>
        <v>0.16400000000000001</v>
      </c>
      <c r="AF44" s="790"/>
      <c r="AG44" s="794">
        <f t="shared" si="632" ref="AG44">AG43*AG$4/1000</f>
        <v>0</v>
      </c>
      <c r="AH44" s="794">
        <f t="shared" si="633" ref="AH44">AH43*AH$4/1000</f>
        <v>0</v>
      </c>
      <c r="AI44" s="794">
        <f t="shared" si="634" ref="AI44">AI43*AI$4/1000</f>
        <v>0</v>
      </c>
      <c r="AJ44" s="794">
        <f t="shared" si="635" ref="AJ44">AJ43*AJ$4/1000</f>
        <v>5.5899999999999999</v>
      </c>
      <c r="AK44" s="794">
        <f t="shared" si="636" ref="AK44">AK43*AK$4/1000</f>
        <v>0</v>
      </c>
      <c r="AL44" s="794">
        <f t="shared" si="637" ref="AL44">AL43*AL$4/1000</f>
        <v>0</v>
      </c>
      <c r="AM44" s="794">
        <f t="shared" si="638" ref="AM44">AM43*AM$4/1000</f>
        <v>0</v>
      </c>
    </row>
    <row r="45" spans="1:42" ht="14.5">
      <c r="A45" s="918">
        <v>43221</v>
      </c>
      <c r="B45" s="788" t="s">
        <v>806</v>
      </c>
      <c r="C45" s="789">
        <f t="shared" si="3"/>
        <v>4595</v>
      </c>
      <c r="D45" s="789">
        <v>4676</v>
      </c>
      <c r="E45" s="789">
        <v>455</v>
      </c>
      <c r="F45" s="789">
        <f>2467-2</f>
        <v>2465</v>
      </c>
      <c r="G45" s="789">
        <v>268</v>
      </c>
      <c r="H45" s="789">
        <v>66</v>
      </c>
      <c r="I45" s="789">
        <f>410-71</f>
        <v>339</v>
      </c>
      <c r="J45" s="789">
        <f>179-8</f>
        <v>171</v>
      </c>
      <c r="K45" s="789">
        <v>125</v>
      </c>
      <c r="L45" s="789">
        <v>123</v>
      </c>
      <c r="M45" s="789">
        <v>290</v>
      </c>
      <c r="N45" s="790"/>
      <c r="O45" s="789">
        <v>29</v>
      </c>
      <c r="P45" s="789">
        <v>14</v>
      </c>
      <c r="Q45" s="789">
        <v>18</v>
      </c>
      <c r="R45" s="789">
        <v>3</v>
      </c>
      <c r="S45" s="789">
        <v>2</v>
      </c>
      <c r="T45" s="789">
        <v>47</v>
      </c>
      <c r="U45" s="789">
        <v>48</v>
      </c>
      <c r="V45" s="789">
        <v>13</v>
      </c>
      <c r="W45" s="789">
        <v>19</v>
      </c>
      <c r="X45" s="789">
        <v>34</v>
      </c>
      <c r="Y45" s="789">
        <v>23</v>
      </c>
      <c r="Z45" s="789">
        <v>2</v>
      </c>
      <c r="AA45" s="789">
        <v>7</v>
      </c>
      <c r="AB45" s="789"/>
      <c r="AC45" s="789">
        <v>3</v>
      </c>
      <c r="AD45" s="789"/>
      <c r="AE45" s="789">
        <v>1</v>
      </c>
      <c r="AF45" s="790"/>
      <c r="AG45" s="791">
        <v>0</v>
      </c>
      <c r="AH45" s="791">
        <v>0</v>
      </c>
      <c r="AI45" s="791">
        <v>0</v>
      </c>
      <c r="AJ45" s="791">
        <v>30</v>
      </c>
      <c r="AK45" s="791">
        <v>0</v>
      </c>
      <c r="AL45" s="791">
        <v>0</v>
      </c>
      <c r="AO45">
        <f t="shared" si="1"/>
        <v>30</v>
      </c>
      <c r="AP45">
        <f t="shared" si="2"/>
        <v>0</v>
      </c>
    </row>
    <row r="46" spans="1:39" ht="14.5">
      <c r="A46" s="919"/>
      <c r="B46" s="793" t="s">
        <v>28</v>
      </c>
      <c r="C46" s="794">
        <f t="shared" si="3"/>
        <v>244.62599999999995</v>
      </c>
      <c r="D46" s="794">
        <v>252.12999999999997</v>
      </c>
      <c r="E46" s="794">
        <f>E45*E$4/1000</f>
        <v>11.375</v>
      </c>
      <c r="F46" s="794">
        <f t="shared" si="639" ref="F46">F45*F$4/1000</f>
        <v>88.739999999999995</v>
      </c>
      <c r="G46" s="794">
        <f t="shared" si="640" ref="G46">G45*G$4/1000</f>
        <v>13.667999999999999</v>
      </c>
      <c r="H46" s="794">
        <f t="shared" si="641" ref="H46">H45*H$4/1000</f>
        <v>3.4319999999999999</v>
      </c>
      <c r="I46" s="794">
        <f t="shared" si="642" ref="I46">I45*I$4/1000</f>
        <v>24.408000000000001</v>
      </c>
      <c r="J46" s="794">
        <f t="shared" si="643" ref="J46">J45*J$4/1000</f>
        <v>12.824999999999999</v>
      </c>
      <c r="K46" s="794">
        <f t="shared" si="644" ref="K46">K45*K$4/1000</f>
        <v>11.5</v>
      </c>
      <c r="L46" s="794">
        <f t="shared" si="645" ref="L46">L45*L$4/1000</f>
        <v>12.669000000000001</v>
      </c>
      <c r="M46" s="794">
        <f t="shared" si="646" ref="M46">M45*M$4/1000</f>
        <v>41.469999999999999</v>
      </c>
      <c r="N46" s="794">
        <f t="shared" si="647" ref="N46">N45*N$4/1000</f>
        <v>0</v>
      </c>
      <c r="O46" s="794">
        <f t="shared" si="648" ref="O46">O45*O$4/1000</f>
        <v>0.87</v>
      </c>
      <c r="P46" s="794">
        <f t="shared" si="649" ref="P46">P45*P$4/1000</f>
        <v>0.58799999999999997</v>
      </c>
      <c r="Q46" s="794">
        <f t="shared" si="650" ref="Q46">Q45*Q$4/1000</f>
        <v>0.91800000000000004</v>
      </c>
      <c r="R46" s="794">
        <f t="shared" si="651" ref="R46">R45*R$4/1000</f>
        <v>0.159</v>
      </c>
      <c r="S46" s="794">
        <f t="shared" si="652" ref="S46">S45*S$4/1000</f>
        <v>0.12</v>
      </c>
      <c r="T46" s="794">
        <f t="shared" si="653" ref="T46">T45*T$4/1000</f>
        <v>3.29</v>
      </c>
      <c r="U46" s="794">
        <f t="shared" si="654" ref="U46">U45*U$4/1000</f>
        <v>3.4079999999999999</v>
      </c>
      <c r="V46" s="794">
        <f t="shared" si="655" ref="V46">V45*V$4/1000</f>
        <v>0.93600000000000005</v>
      </c>
      <c r="W46" s="794">
        <f t="shared" si="656" ref="W46">W45*W$4/1000</f>
        <v>1.425</v>
      </c>
      <c r="X46" s="794">
        <f t="shared" si="657" ref="X46">X45*X$4/1000</f>
        <v>2.7200000000000002</v>
      </c>
      <c r="Y46" s="794">
        <f t="shared" si="658" ref="Y46">Y45*Y$4/1000</f>
        <v>2.1389999999999998</v>
      </c>
      <c r="Z46" s="794">
        <f t="shared" si="659" ref="Z46">Z45*Z$4/1000</f>
        <v>0.188</v>
      </c>
      <c r="AA46" s="794">
        <f t="shared" si="660" ref="AA46">AA45*AA$4/1000</f>
        <v>0.71399999999999997</v>
      </c>
      <c r="AB46" s="794">
        <f t="shared" si="661" ref="AB46">AB45*AB$4/1000</f>
        <v>0</v>
      </c>
      <c r="AC46" s="794">
        <f t="shared" si="662" ref="AC46">AC45*AC$4/1000</f>
        <v>0.45000000000000001</v>
      </c>
      <c r="AD46" s="794">
        <f t="shared" si="663" ref="AD46">AD45*AD$4/1000</f>
        <v>0</v>
      </c>
      <c r="AE46" s="794">
        <f t="shared" si="664" ref="AE46">AE45*AE$4/1000</f>
        <v>0.16400000000000001</v>
      </c>
      <c r="AF46" s="790"/>
      <c r="AG46" s="794">
        <f t="shared" si="665" ref="AG46">AG45*AG$4/1000</f>
        <v>0</v>
      </c>
      <c r="AH46" s="794">
        <f t="shared" si="666" ref="AH46">AH45*AH$4/1000</f>
        <v>0</v>
      </c>
      <c r="AI46" s="794">
        <f t="shared" si="667" ref="AI46">AI45*AI$4/1000</f>
        <v>0</v>
      </c>
      <c r="AJ46" s="794">
        <f t="shared" si="668" ref="AJ46">AJ45*AJ$4/1000</f>
        <v>6.4500000000000002</v>
      </c>
      <c r="AK46" s="794">
        <f t="shared" si="669" ref="AK46">AK45*AK$4/1000</f>
        <v>0</v>
      </c>
      <c r="AL46" s="794">
        <f t="shared" si="670" ref="AL46">AL45*AL$4/1000</f>
        <v>0</v>
      </c>
      <c r="AM46" s="794">
        <f t="shared" si="671" ref="AM46">AM45*AM$4/1000</f>
        <v>0</v>
      </c>
    </row>
    <row r="47" spans="1:42" ht="14.5">
      <c r="A47" s="918">
        <v>43191</v>
      </c>
      <c r="B47" s="788" t="s">
        <v>806</v>
      </c>
      <c r="C47" s="789">
        <f t="shared" si="3"/>
        <v>4595</v>
      </c>
      <c r="D47" s="789">
        <v>4676</v>
      </c>
      <c r="E47" s="789">
        <v>455</v>
      </c>
      <c r="F47" s="789">
        <f>2467-2</f>
        <v>2465</v>
      </c>
      <c r="G47" s="789">
        <v>268</v>
      </c>
      <c r="H47" s="789">
        <v>66</v>
      </c>
      <c r="I47" s="789">
        <f>410-71</f>
        <v>339</v>
      </c>
      <c r="J47" s="789">
        <f>179-8</f>
        <v>171</v>
      </c>
      <c r="K47" s="789">
        <v>125</v>
      </c>
      <c r="L47" s="789">
        <v>123</v>
      </c>
      <c r="M47" s="789">
        <v>290</v>
      </c>
      <c r="N47" s="790"/>
      <c r="O47" s="789">
        <v>29</v>
      </c>
      <c r="P47" s="789">
        <v>14</v>
      </c>
      <c r="Q47" s="789">
        <v>18</v>
      </c>
      <c r="R47" s="789">
        <v>3</v>
      </c>
      <c r="S47" s="789">
        <v>2</v>
      </c>
      <c r="T47" s="789">
        <v>47</v>
      </c>
      <c r="U47" s="789">
        <v>48</v>
      </c>
      <c r="V47" s="789">
        <v>13</v>
      </c>
      <c r="W47" s="789">
        <v>19</v>
      </c>
      <c r="X47" s="789">
        <v>34</v>
      </c>
      <c r="Y47" s="789">
        <v>23</v>
      </c>
      <c r="Z47" s="789">
        <v>2</v>
      </c>
      <c r="AA47" s="789">
        <v>7</v>
      </c>
      <c r="AB47" s="789"/>
      <c r="AC47" s="789">
        <v>3</v>
      </c>
      <c r="AD47" s="789"/>
      <c r="AE47" s="789">
        <v>1</v>
      </c>
      <c r="AF47" s="790"/>
      <c r="AG47" s="791">
        <v>0</v>
      </c>
      <c r="AH47" s="791">
        <v>0</v>
      </c>
      <c r="AI47" s="791">
        <v>0</v>
      </c>
      <c r="AJ47" s="791">
        <v>30</v>
      </c>
      <c r="AK47" s="791">
        <v>0</v>
      </c>
      <c r="AL47" s="791">
        <v>0</v>
      </c>
      <c r="AO47">
        <f t="shared" si="1"/>
        <v>30</v>
      </c>
      <c r="AP47">
        <f t="shared" si="2"/>
        <v>0</v>
      </c>
    </row>
    <row r="48" spans="1:39" ht="14.5">
      <c r="A48" s="919"/>
      <c r="B48" s="793" t="s">
        <v>28</v>
      </c>
      <c r="C48" s="794">
        <f t="shared" si="3"/>
        <v>244.62599999999995</v>
      </c>
      <c r="D48" s="794">
        <v>250.48199999999997</v>
      </c>
      <c r="E48" s="794">
        <f>E47*E$4/1000</f>
        <v>11.375</v>
      </c>
      <c r="F48" s="794">
        <f t="shared" si="672" ref="F48">F47*F$4/1000</f>
        <v>88.739999999999995</v>
      </c>
      <c r="G48" s="794">
        <f t="shared" si="673" ref="G48">G47*G$4/1000</f>
        <v>13.667999999999999</v>
      </c>
      <c r="H48" s="794">
        <f t="shared" si="674" ref="H48">H47*H$4/1000</f>
        <v>3.4319999999999999</v>
      </c>
      <c r="I48" s="794">
        <f t="shared" si="675" ref="I48">I47*I$4/1000</f>
        <v>24.408000000000001</v>
      </c>
      <c r="J48" s="794">
        <f t="shared" si="676" ref="J48">J47*J$4/1000</f>
        <v>12.824999999999999</v>
      </c>
      <c r="K48" s="794">
        <f t="shared" si="677" ref="K48">K47*K$4/1000</f>
        <v>11.5</v>
      </c>
      <c r="L48" s="794">
        <f t="shared" si="678" ref="L48">L47*L$4/1000</f>
        <v>12.669000000000001</v>
      </c>
      <c r="M48" s="794">
        <f t="shared" si="679" ref="M48">M47*M$4/1000</f>
        <v>41.469999999999999</v>
      </c>
      <c r="N48" s="794">
        <f t="shared" si="680" ref="N48">N47*N$4/1000</f>
        <v>0</v>
      </c>
      <c r="O48" s="794">
        <f t="shared" si="681" ref="O48">O47*O$4/1000</f>
        <v>0.87</v>
      </c>
      <c r="P48" s="794">
        <f t="shared" si="682" ref="P48">P47*P$4/1000</f>
        <v>0.58799999999999997</v>
      </c>
      <c r="Q48" s="794">
        <f t="shared" si="683" ref="Q48">Q47*Q$4/1000</f>
        <v>0.91800000000000004</v>
      </c>
      <c r="R48" s="794">
        <f t="shared" si="684" ref="R48">R47*R$4/1000</f>
        <v>0.159</v>
      </c>
      <c r="S48" s="794">
        <f t="shared" si="685" ref="S48">S47*S$4/1000</f>
        <v>0.12</v>
      </c>
      <c r="T48" s="794">
        <f t="shared" si="686" ref="T48">T47*T$4/1000</f>
        <v>3.29</v>
      </c>
      <c r="U48" s="794">
        <f t="shared" si="687" ref="U48">U47*U$4/1000</f>
        <v>3.4079999999999999</v>
      </c>
      <c r="V48" s="794">
        <f t="shared" si="688" ref="V48">V47*V$4/1000</f>
        <v>0.93600000000000005</v>
      </c>
      <c r="W48" s="794">
        <f t="shared" si="689" ref="W48">W47*W$4/1000</f>
        <v>1.425</v>
      </c>
      <c r="X48" s="794">
        <f t="shared" si="690" ref="X48">X47*X$4/1000</f>
        <v>2.7200000000000002</v>
      </c>
      <c r="Y48" s="794">
        <f t="shared" si="691" ref="Y48">Y47*Y$4/1000</f>
        <v>2.1389999999999998</v>
      </c>
      <c r="Z48" s="794">
        <f t="shared" si="692" ref="Z48">Z47*Z$4/1000</f>
        <v>0.188</v>
      </c>
      <c r="AA48" s="794">
        <f t="shared" si="693" ref="AA48">AA47*AA$4/1000</f>
        <v>0.71399999999999997</v>
      </c>
      <c r="AB48" s="794">
        <f t="shared" si="694" ref="AB48">AB47*AB$4/1000</f>
        <v>0</v>
      </c>
      <c r="AC48" s="794">
        <f t="shared" si="695" ref="AC48">AC47*AC$4/1000</f>
        <v>0.45000000000000001</v>
      </c>
      <c r="AD48" s="794">
        <f t="shared" si="696" ref="AD48">AD47*AD$4/1000</f>
        <v>0</v>
      </c>
      <c r="AE48" s="794">
        <f t="shared" si="697" ref="AE48">AE47*AE$4/1000</f>
        <v>0.16400000000000001</v>
      </c>
      <c r="AF48" s="790"/>
      <c r="AG48" s="794">
        <f t="shared" si="698" ref="AG48">AG47*AG$4/1000</f>
        <v>0</v>
      </c>
      <c r="AH48" s="794">
        <f t="shared" si="699" ref="AH48">AH47*AH$4/1000</f>
        <v>0</v>
      </c>
      <c r="AI48" s="794">
        <f t="shared" si="700" ref="AI48">AI47*AI$4/1000</f>
        <v>0</v>
      </c>
      <c r="AJ48" s="794">
        <f t="shared" si="701" ref="AJ48">AJ47*AJ$4/1000</f>
        <v>6.4500000000000002</v>
      </c>
      <c r="AK48" s="794">
        <f t="shared" si="702" ref="AK48">AK47*AK$4/1000</f>
        <v>0</v>
      </c>
      <c r="AL48" s="794">
        <f t="shared" si="703" ref="AL48">AL47*AL$4/1000</f>
        <v>0</v>
      </c>
      <c r="AM48" s="794">
        <f t="shared" si="704" ref="AM48">AM47*AM$4/1000</f>
        <v>0</v>
      </c>
    </row>
    <row r="49" spans="1:42" ht="14.5">
      <c r="A49" s="918">
        <v>43160</v>
      </c>
      <c r="B49" s="788" t="s">
        <v>806</v>
      </c>
      <c r="C49" s="789">
        <f t="shared" si="3"/>
        <v>4595</v>
      </c>
      <c r="D49" s="789">
        <v>4676</v>
      </c>
      <c r="E49" s="789">
        <v>455</v>
      </c>
      <c r="F49" s="789">
        <f>2467-2</f>
        <v>2465</v>
      </c>
      <c r="G49" s="789">
        <v>268</v>
      </c>
      <c r="H49" s="789">
        <v>66</v>
      </c>
      <c r="I49" s="789">
        <f>410-71</f>
        <v>339</v>
      </c>
      <c r="J49" s="789">
        <f>179-8</f>
        <v>171</v>
      </c>
      <c r="K49" s="789">
        <v>125</v>
      </c>
      <c r="L49" s="789">
        <v>123</v>
      </c>
      <c r="M49" s="789">
        <v>290</v>
      </c>
      <c r="N49" s="790"/>
      <c r="O49" s="789">
        <v>29</v>
      </c>
      <c r="P49" s="789">
        <v>14</v>
      </c>
      <c r="Q49" s="789">
        <v>18</v>
      </c>
      <c r="R49" s="789">
        <v>3</v>
      </c>
      <c r="S49" s="789">
        <v>2</v>
      </c>
      <c r="T49" s="789">
        <v>47</v>
      </c>
      <c r="U49" s="789">
        <v>48</v>
      </c>
      <c r="V49" s="789">
        <v>13</v>
      </c>
      <c r="W49" s="789">
        <v>19</v>
      </c>
      <c r="X49" s="789">
        <v>34</v>
      </c>
      <c r="Y49" s="789">
        <v>23</v>
      </c>
      <c r="Z49" s="789">
        <v>2</v>
      </c>
      <c r="AA49" s="789">
        <v>7</v>
      </c>
      <c r="AB49" s="789"/>
      <c r="AC49" s="789">
        <v>3</v>
      </c>
      <c r="AD49" s="789"/>
      <c r="AE49" s="789">
        <v>1</v>
      </c>
      <c r="AF49" s="790"/>
      <c r="AG49" s="791">
        <v>0</v>
      </c>
      <c r="AH49" s="791">
        <v>0</v>
      </c>
      <c r="AI49" s="791">
        <v>0</v>
      </c>
      <c r="AJ49" s="791">
        <v>30</v>
      </c>
      <c r="AK49" s="791">
        <v>0</v>
      </c>
      <c r="AL49" s="791">
        <v>0</v>
      </c>
      <c r="AO49">
        <f t="shared" si="1"/>
        <v>30</v>
      </c>
      <c r="AP49">
        <f t="shared" si="2"/>
        <v>0</v>
      </c>
    </row>
    <row r="50" spans="1:39" ht="14.5">
      <c r="A50" s="919"/>
      <c r="B50" s="793" t="s">
        <v>28</v>
      </c>
      <c r="C50" s="794">
        <f t="shared" si="3"/>
        <v>244.62599999999995</v>
      </c>
      <c r="D50" s="794">
        <v>250.48199999999997</v>
      </c>
      <c r="E50" s="794">
        <f>E49*E$4/1000</f>
        <v>11.375</v>
      </c>
      <c r="F50" s="794">
        <f t="shared" si="705" ref="F50">F49*F$4/1000</f>
        <v>88.739999999999995</v>
      </c>
      <c r="G50" s="794">
        <f t="shared" si="706" ref="G50">G49*G$4/1000</f>
        <v>13.667999999999999</v>
      </c>
      <c r="H50" s="794">
        <f t="shared" si="707" ref="H50">H49*H$4/1000</f>
        <v>3.4319999999999999</v>
      </c>
      <c r="I50" s="794">
        <f t="shared" si="708" ref="I50">I49*I$4/1000</f>
        <v>24.408000000000001</v>
      </c>
      <c r="J50" s="794">
        <f t="shared" si="709" ref="J50">J49*J$4/1000</f>
        <v>12.824999999999999</v>
      </c>
      <c r="K50" s="794">
        <f t="shared" si="710" ref="K50">K49*K$4/1000</f>
        <v>11.5</v>
      </c>
      <c r="L50" s="794">
        <f t="shared" si="711" ref="L50">L49*L$4/1000</f>
        <v>12.669000000000001</v>
      </c>
      <c r="M50" s="794">
        <f t="shared" si="712" ref="M50">M49*M$4/1000</f>
        <v>41.469999999999999</v>
      </c>
      <c r="N50" s="794">
        <f t="shared" si="713" ref="N50">N49*N$4/1000</f>
        <v>0</v>
      </c>
      <c r="O50" s="794">
        <f t="shared" si="714" ref="O50">O49*O$4/1000</f>
        <v>0.87</v>
      </c>
      <c r="P50" s="794">
        <f t="shared" si="715" ref="P50">P49*P$4/1000</f>
        <v>0.58799999999999997</v>
      </c>
      <c r="Q50" s="794">
        <f t="shared" si="716" ref="Q50">Q49*Q$4/1000</f>
        <v>0.91800000000000004</v>
      </c>
      <c r="R50" s="794">
        <f t="shared" si="717" ref="R50">R49*R$4/1000</f>
        <v>0.159</v>
      </c>
      <c r="S50" s="794">
        <f t="shared" si="718" ref="S50">S49*S$4/1000</f>
        <v>0.12</v>
      </c>
      <c r="T50" s="794">
        <f t="shared" si="719" ref="T50">T49*T$4/1000</f>
        <v>3.29</v>
      </c>
      <c r="U50" s="794">
        <f t="shared" si="720" ref="U50">U49*U$4/1000</f>
        <v>3.4079999999999999</v>
      </c>
      <c r="V50" s="794">
        <f t="shared" si="721" ref="V50">V49*V$4/1000</f>
        <v>0.93600000000000005</v>
      </c>
      <c r="W50" s="794">
        <f t="shared" si="722" ref="W50">W49*W$4/1000</f>
        <v>1.425</v>
      </c>
      <c r="X50" s="794">
        <f t="shared" si="723" ref="X50">X49*X$4/1000</f>
        <v>2.7200000000000002</v>
      </c>
      <c r="Y50" s="794">
        <f t="shared" si="724" ref="Y50">Y49*Y$4/1000</f>
        <v>2.1389999999999998</v>
      </c>
      <c r="Z50" s="794">
        <f t="shared" si="725" ref="Z50">Z49*Z$4/1000</f>
        <v>0.188</v>
      </c>
      <c r="AA50" s="794">
        <f t="shared" si="726" ref="AA50">AA49*AA$4/1000</f>
        <v>0.71399999999999997</v>
      </c>
      <c r="AB50" s="794">
        <f t="shared" si="727" ref="AB50">AB49*AB$4/1000</f>
        <v>0</v>
      </c>
      <c r="AC50" s="794">
        <f t="shared" si="728" ref="AC50">AC49*AC$4/1000</f>
        <v>0.45000000000000001</v>
      </c>
      <c r="AD50" s="794">
        <f t="shared" si="729" ref="AD50">AD49*AD$4/1000</f>
        <v>0</v>
      </c>
      <c r="AE50" s="794">
        <f t="shared" si="730" ref="AE50">AE49*AE$4/1000</f>
        <v>0.16400000000000001</v>
      </c>
      <c r="AF50" s="790"/>
      <c r="AG50" s="794">
        <f t="shared" si="731" ref="AG50">AG49*AG$4/1000</f>
        <v>0</v>
      </c>
      <c r="AH50" s="794">
        <f t="shared" si="732" ref="AH50">AH49*AH$4/1000</f>
        <v>0</v>
      </c>
      <c r="AI50" s="794">
        <f t="shared" si="733" ref="AI50">AI49*AI$4/1000</f>
        <v>0</v>
      </c>
      <c r="AJ50" s="794">
        <f t="shared" si="734" ref="AJ50">AJ49*AJ$4/1000</f>
        <v>6.4500000000000002</v>
      </c>
      <c r="AK50" s="794">
        <f t="shared" si="735" ref="AK50">AK49*AK$4/1000</f>
        <v>0</v>
      </c>
      <c r="AL50" s="794">
        <f t="shared" si="736" ref="AL50">AL49*AL$4/1000</f>
        <v>0</v>
      </c>
      <c r="AM50" s="794">
        <f t="shared" si="737" ref="AM50">AM49*AM$4/1000</f>
        <v>0</v>
      </c>
    </row>
    <row r="51" spans="1:42" ht="14.5">
      <c r="A51" s="918">
        <v>43132</v>
      </c>
      <c r="B51" s="788" t="s">
        <v>806</v>
      </c>
      <c r="C51" s="789">
        <f t="shared" si="3"/>
        <v>4595</v>
      </c>
      <c r="D51" s="789">
        <v>4676</v>
      </c>
      <c r="E51" s="789">
        <v>455</v>
      </c>
      <c r="F51" s="789">
        <f>2467-2</f>
        <v>2465</v>
      </c>
      <c r="G51" s="789">
        <v>268</v>
      </c>
      <c r="H51" s="789">
        <v>66</v>
      </c>
      <c r="I51" s="789">
        <f>410-71</f>
        <v>339</v>
      </c>
      <c r="J51" s="789">
        <f>179-8</f>
        <v>171</v>
      </c>
      <c r="K51" s="789">
        <v>125</v>
      </c>
      <c r="L51" s="789">
        <v>123</v>
      </c>
      <c r="M51" s="789">
        <v>290</v>
      </c>
      <c r="N51" s="790"/>
      <c r="O51" s="789">
        <v>29</v>
      </c>
      <c r="P51" s="789">
        <v>14</v>
      </c>
      <c r="Q51" s="789">
        <v>18</v>
      </c>
      <c r="R51" s="789">
        <v>3</v>
      </c>
      <c r="S51" s="789">
        <v>2</v>
      </c>
      <c r="T51" s="789">
        <v>47</v>
      </c>
      <c r="U51" s="789">
        <v>48</v>
      </c>
      <c r="V51" s="789">
        <v>13</v>
      </c>
      <c r="W51" s="789">
        <v>19</v>
      </c>
      <c r="X51" s="789">
        <v>34</v>
      </c>
      <c r="Y51" s="789">
        <v>23</v>
      </c>
      <c r="Z51" s="789">
        <v>2</v>
      </c>
      <c r="AA51" s="789">
        <v>7</v>
      </c>
      <c r="AB51" s="789"/>
      <c r="AC51" s="789">
        <v>3</v>
      </c>
      <c r="AD51" s="789"/>
      <c r="AE51" s="789">
        <v>1</v>
      </c>
      <c r="AF51" s="790"/>
      <c r="AG51" s="791">
        <v>0</v>
      </c>
      <c r="AH51" s="791">
        <v>0</v>
      </c>
      <c r="AI51" s="791">
        <v>0</v>
      </c>
      <c r="AJ51" s="791">
        <v>30</v>
      </c>
      <c r="AK51" s="791">
        <v>0</v>
      </c>
      <c r="AL51" s="791">
        <v>0</v>
      </c>
      <c r="AO51">
        <f t="shared" si="1"/>
        <v>30</v>
      </c>
      <c r="AP51">
        <f t="shared" si="2"/>
        <v>0</v>
      </c>
    </row>
    <row r="52" spans="1:39" ht="14.5">
      <c r="A52" s="919"/>
      <c r="B52" s="793" t="s">
        <v>28</v>
      </c>
      <c r="C52" s="794">
        <f t="shared" si="3"/>
        <v>244.62599999999995</v>
      </c>
      <c r="D52" s="794">
        <v>250.40999999999997</v>
      </c>
      <c r="E52" s="794">
        <f>E51*E$4/1000</f>
        <v>11.375</v>
      </c>
      <c r="F52" s="794">
        <f t="shared" si="738" ref="F52">F51*F$4/1000</f>
        <v>88.739999999999995</v>
      </c>
      <c r="G52" s="794">
        <f t="shared" si="739" ref="G52">G51*G$4/1000</f>
        <v>13.667999999999999</v>
      </c>
      <c r="H52" s="794">
        <f t="shared" si="740" ref="H52">H51*H$4/1000</f>
        <v>3.4319999999999999</v>
      </c>
      <c r="I52" s="794">
        <f t="shared" si="741" ref="I52">I51*I$4/1000</f>
        <v>24.408000000000001</v>
      </c>
      <c r="J52" s="794">
        <f t="shared" si="742" ref="J52">J51*J$4/1000</f>
        <v>12.824999999999999</v>
      </c>
      <c r="K52" s="794">
        <f t="shared" si="743" ref="K52">K51*K$4/1000</f>
        <v>11.5</v>
      </c>
      <c r="L52" s="794">
        <f t="shared" si="744" ref="L52">L51*L$4/1000</f>
        <v>12.669000000000001</v>
      </c>
      <c r="M52" s="794">
        <f t="shared" si="745" ref="M52">M51*M$4/1000</f>
        <v>41.469999999999999</v>
      </c>
      <c r="N52" s="794">
        <f t="shared" si="746" ref="N52">N51*N$4/1000</f>
        <v>0</v>
      </c>
      <c r="O52" s="794">
        <f t="shared" si="747" ref="O52">O51*O$4/1000</f>
        <v>0.87</v>
      </c>
      <c r="P52" s="794">
        <f t="shared" si="748" ref="P52">P51*P$4/1000</f>
        <v>0.58799999999999997</v>
      </c>
      <c r="Q52" s="794">
        <f t="shared" si="749" ref="Q52">Q51*Q$4/1000</f>
        <v>0.91800000000000004</v>
      </c>
      <c r="R52" s="794">
        <f t="shared" si="750" ref="R52">R51*R$4/1000</f>
        <v>0.159</v>
      </c>
      <c r="S52" s="794">
        <f t="shared" si="751" ref="S52">S51*S$4/1000</f>
        <v>0.12</v>
      </c>
      <c r="T52" s="794">
        <f t="shared" si="752" ref="T52">T51*T$4/1000</f>
        <v>3.29</v>
      </c>
      <c r="U52" s="794">
        <f t="shared" si="753" ref="U52">U51*U$4/1000</f>
        <v>3.4079999999999999</v>
      </c>
      <c r="V52" s="794">
        <f t="shared" si="754" ref="V52">V51*V$4/1000</f>
        <v>0.93600000000000005</v>
      </c>
      <c r="W52" s="794">
        <f t="shared" si="755" ref="W52">W51*W$4/1000</f>
        <v>1.425</v>
      </c>
      <c r="X52" s="794">
        <f t="shared" si="756" ref="X52">X51*X$4/1000</f>
        <v>2.7200000000000002</v>
      </c>
      <c r="Y52" s="794">
        <f t="shared" si="757" ref="Y52">Y51*Y$4/1000</f>
        <v>2.1389999999999998</v>
      </c>
      <c r="Z52" s="794">
        <f t="shared" si="758" ref="Z52">Z51*Z$4/1000</f>
        <v>0.188</v>
      </c>
      <c r="AA52" s="794">
        <f t="shared" si="759" ref="AA52">AA51*AA$4/1000</f>
        <v>0.71399999999999997</v>
      </c>
      <c r="AB52" s="794">
        <f t="shared" si="760" ref="AB52">AB51*AB$4/1000</f>
        <v>0</v>
      </c>
      <c r="AC52" s="794">
        <f t="shared" si="761" ref="AC52">AC51*AC$4/1000</f>
        <v>0.45000000000000001</v>
      </c>
      <c r="AD52" s="794">
        <f t="shared" si="762" ref="AD52">AD51*AD$4/1000</f>
        <v>0</v>
      </c>
      <c r="AE52" s="794">
        <f t="shared" si="763" ref="AE52">AE51*AE$4/1000</f>
        <v>0.16400000000000001</v>
      </c>
      <c r="AF52" s="790"/>
      <c r="AG52" s="794">
        <f t="shared" si="764" ref="AG52">AG51*AG$4/1000</f>
        <v>0</v>
      </c>
      <c r="AH52" s="794">
        <f t="shared" si="765" ref="AH52">AH51*AH$4/1000</f>
        <v>0</v>
      </c>
      <c r="AI52" s="794">
        <f t="shared" si="766" ref="AI52">AI51*AI$4/1000</f>
        <v>0</v>
      </c>
      <c r="AJ52" s="794">
        <f t="shared" si="767" ref="AJ52">AJ51*AJ$4/1000</f>
        <v>6.4500000000000002</v>
      </c>
      <c r="AK52" s="794">
        <f t="shared" si="768" ref="AK52">AK51*AK$4/1000</f>
        <v>0</v>
      </c>
      <c r="AL52" s="794">
        <f t="shared" si="769" ref="AL52">AL51*AL$4/1000</f>
        <v>0</v>
      </c>
      <c r="AM52" s="794">
        <f t="shared" si="770" ref="AM52">AM51*AM$4/1000</f>
        <v>0</v>
      </c>
    </row>
    <row r="53" spans="1:42" ht="14.5">
      <c r="A53" s="918">
        <v>43101</v>
      </c>
      <c r="B53" s="788" t="s">
        <v>806</v>
      </c>
      <c r="C53" s="789">
        <f t="shared" si="3"/>
        <v>4595</v>
      </c>
      <c r="D53" s="789">
        <v>4676</v>
      </c>
      <c r="E53" s="789">
        <v>455</v>
      </c>
      <c r="F53" s="789">
        <f>2467-2</f>
        <v>2465</v>
      </c>
      <c r="G53" s="789">
        <v>268</v>
      </c>
      <c r="H53" s="789">
        <v>66</v>
      </c>
      <c r="I53" s="789">
        <f>410-71</f>
        <v>339</v>
      </c>
      <c r="J53" s="789">
        <f>179-8</f>
        <v>171</v>
      </c>
      <c r="K53" s="789">
        <v>125</v>
      </c>
      <c r="L53" s="789">
        <v>123</v>
      </c>
      <c r="M53" s="789">
        <v>290</v>
      </c>
      <c r="N53" s="790"/>
      <c r="O53" s="789">
        <v>29</v>
      </c>
      <c r="P53" s="789">
        <v>14</v>
      </c>
      <c r="Q53" s="789">
        <v>18</v>
      </c>
      <c r="R53" s="789">
        <v>3</v>
      </c>
      <c r="S53" s="789">
        <v>2</v>
      </c>
      <c r="T53" s="789">
        <v>47</v>
      </c>
      <c r="U53" s="789">
        <v>48</v>
      </c>
      <c r="V53" s="789">
        <v>13</v>
      </c>
      <c r="W53" s="789">
        <v>19</v>
      </c>
      <c r="X53" s="789">
        <v>34</v>
      </c>
      <c r="Y53" s="789">
        <v>23</v>
      </c>
      <c r="Z53" s="789">
        <v>2</v>
      </c>
      <c r="AA53" s="789">
        <v>7</v>
      </c>
      <c r="AB53" s="789"/>
      <c r="AC53" s="789">
        <v>3</v>
      </c>
      <c r="AD53" s="789"/>
      <c r="AE53" s="789">
        <v>1</v>
      </c>
      <c r="AF53" s="790"/>
      <c r="AG53" s="791">
        <v>0</v>
      </c>
      <c r="AH53" s="791">
        <v>0</v>
      </c>
      <c r="AI53" s="791">
        <v>0</v>
      </c>
      <c r="AJ53" s="791">
        <v>30</v>
      </c>
      <c r="AK53" s="791">
        <v>0</v>
      </c>
      <c r="AL53" s="791">
        <v>0</v>
      </c>
      <c r="AO53">
        <f t="shared" si="1"/>
        <v>30</v>
      </c>
      <c r="AP53">
        <f t="shared" si="2"/>
        <v>-7</v>
      </c>
    </row>
    <row r="54" spans="1:39" ht="14.5">
      <c r="A54" s="919"/>
      <c r="B54" s="793" t="s">
        <v>28</v>
      </c>
      <c r="C54" s="794">
        <f t="shared" si="3"/>
        <v>244.62599999999995</v>
      </c>
      <c r="D54" s="794">
        <v>250.40999999999997</v>
      </c>
      <c r="E54" s="794">
        <f>E53*E$4/1000</f>
        <v>11.375</v>
      </c>
      <c r="F54" s="794">
        <f t="shared" si="771" ref="F54">F53*F$4/1000</f>
        <v>88.739999999999995</v>
      </c>
      <c r="G54" s="794">
        <f t="shared" si="772" ref="G54">G53*G$4/1000</f>
        <v>13.667999999999999</v>
      </c>
      <c r="H54" s="794">
        <f t="shared" si="773" ref="H54">H53*H$4/1000</f>
        <v>3.4319999999999999</v>
      </c>
      <c r="I54" s="794">
        <f t="shared" si="774" ref="I54">I53*I$4/1000</f>
        <v>24.408000000000001</v>
      </c>
      <c r="J54" s="794">
        <f t="shared" si="775" ref="J54">J53*J$4/1000</f>
        <v>12.824999999999999</v>
      </c>
      <c r="K54" s="794">
        <f t="shared" si="776" ref="K54">K53*K$4/1000</f>
        <v>11.5</v>
      </c>
      <c r="L54" s="794">
        <f t="shared" si="777" ref="L54">L53*L$4/1000</f>
        <v>12.669000000000001</v>
      </c>
      <c r="M54" s="794">
        <f t="shared" si="778" ref="M54">M53*M$4/1000</f>
        <v>41.469999999999999</v>
      </c>
      <c r="N54" s="794">
        <f t="shared" si="779" ref="N54">N53*N$4/1000</f>
        <v>0</v>
      </c>
      <c r="O54" s="794">
        <f t="shared" si="780" ref="O54">O53*O$4/1000</f>
        <v>0.87</v>
      </c>
      <c r="P54" s="794">
        <f t="shared" si="781" ref="P54">P53*P$4/1000</f>
        <v>0.58799999999999997</v>
      </c>
      <c r="Q54" s="794">
        <f t="shared" si="782" ref="Q54">Q53*Q$4/1000</f>
        <v>0.91800000000000004</v>
      </c>
      <c r="R54" s="794">
        <f t="shared" si="783" ref="R54">R53*R$4/1000</f>
        <v>0.159</v>
      </c>
      <c r="S54" s="794">
        <f t="shared" si="784" ref="S54">S53*S$4/1000</f>
        <v>0.12</v>
      </c>
      <c r="T54" s="794">
        <f t="shared" si="785" ref="T54">T53*T$4/1000</f>
        <v>3.29</v>
      </c>
      <c r="U54" s="794">
        <f t="shared" si="786" ref="U54">U53*U$4/1000</f>
        <v>3.4079999999999999</v>
      </c>
      <c r="V54" s="794">
        <f t="shared" si="787" ref="V54">V53*V$4/1000</f>
        <v>0.93600000000000005</v>
      </c>
      <c r="W54" s="794">
        <f t="shared" si="788" ref="W54">W53*W$4/1000</f>
        <v>1.425</v>
      </c>
      <c r="X54" s="794">
        <f t="shared" si="789" ref="X54">X53*X$4/1000</f>
        <v>2.7200000000000002</v>
      </c>
      <c r="Y54" s="794">
        <f t="shared" si="790" ref="Y54">Y53*Y$4/1000</f>
        <v>2.1389999999999998</v>
      </c>
      <c r="Z54" s="794">
        <f t="shared" si="791" ref="Z54">Z53*Z$4/1000</f>
        <v>0.188</v>
      </c>
      <c r="AA54" s="794">
        <f t="shared" si="792" ref="AA54">AA53*AA$4/1000</f>
        <v>0.71399999999999997</v>
      </c>
      <c r="AB54" s="794">
        <f t="shared" si="793" ref="AB54">AB53*AB$4/1000</f>
        <v>0</v>
      </c>
      <c r="AC54" s="794">
        <f t="shared" si="794" ref="AC54">AC53*AC$4/1000</f>
        <v>0.45000000000000001</v>
      </c>
      <c r="AD54" s="794">
        <f t="shared" si="795" ref="AD54">AD53*AD$4/1000</f>
        <v>0</v>
      </c>
      <c r="AE54" s="794">
        <f t="shared" si="796" ref="AE54">AE53*AE$4/1000</f>
        <v>0.16400000000000001</v>
      </c>
      <c r="AF54" s="790"/>
      <c r="AG54" s="794">
        <f t="shared" si="797" ref="AG54">AG53*AG$4/1000</f>
        <v>0</v>
      </c>
      <c r="AH54" s="794">
        <f t="shared" si="798" ref="AH54">AH53*AH$4/1000</f>
        <v>0</v>
      </c>
      <c r="AI54" s="794">
        <f t="shared" si="799" ref="AI54">AI53*AI$4/1000</f>
        <v>0</v>
      </c>
      <c r="AJ54" s="794">
        <f t="shared" si="800" ref="AJ54">AJ53*AJ$4/1000</f>
        <v>6.4500000000000002</v>
      </c>
      <c r="AK54" s="794">
        <f t="shared" si="801" ref="AK54">AK53*AK$4/1000</f>
        <v>0</v>
      </c>
      <c r="AL54" s="794">
        <f t="shared" si="802" ref="AL54">AL53*AL$4/1000</f>
        <v>0</v>
      </c>
      <c r="AM54" s="794">
        <f t="shared" si="803" ref="AM54">AM53*AM$4/1000</f>
        <v>0</v>
      </c>
    </row>
    <row r="55" spans="1:42" ht="14.5">
      <c r="A55" s="920">
        <v>43070</v>
      </c>
      <c r="B55" s="788" t="s">
        <v>806</v>
      </c>
      <c r="C55" s="789">
        <f t="shared" si="3"/>
        <v>4595</v>
      </c>
      <c r="D55" s="789">
        <v>4676</v>
      </c>
      <c r="E55" s="789">
        <v>455</v>
      </c>
      <c r="F55" s="789">
        <f>2460-2</f>
        <v>2458</v>
      </c>
      <c r="G55" s="789">
        <v>268</v>
      </c>
      <c r="H55" s="789">
        <v>66</v>
      </c>
      <c r="I55" s="789">
        <f>410-71</f>
        <v>339</v>
      </c>
      <c r="J55" s="789">
        <f>179-8</f>
        <v>171</v>
      </c>
      <c r="K55" s="789">
        <v>125</v>
      </c>
      <c r="L55" s="789">
        <v>123</v>
      </c>
      <c r="M55" s="789">
        <v>290</v>
      </c>
      <c r="N55" s="790"/>
      <c r="O55" s="789">
        <v>29</v>
      </c>
      <c r="P55" s="789">
        <v>14</v>
      </c>
      <c r="Q55" s="789">
        <v>18</v>
      </c>
      <c r="R55" s="789">
        <v>3</v>
      </c>
      <c r="S55" s="789">
        <v>2</v>
      </c>
      <c r="T55" s="789">
        <v>47</v>
      </c>
      <c r="U55" s="789">
        <v>48</v>
      </c>
      <c r="V55" s="789">
        <v>13</v>
      </c>
      <c r="W55" s="789">
        <v>19</v>
      </c>
      <c r="X55" s="789">
        <v>34</v>
      </c>
      <c r="Y55" s="789">
        <v>23</v>
      </c>
      <c r="Z55" s="789">
        <v>2</v>
      </c>
      <c r="AA55" s="789">
        <v>7</v>
      </c>
      <c r="AB55" s="789"/>
      <c r="AC55" s="789">
        <v>3</v>
      </c>
      <c r="AD55" s="789"/>
      <c r="AE55" s="789">
        <v>1</v>
      </c>
      <c r="AF55" s="790"/>
      <c r="AG55" s="791">
        <v>4</v>
      </c>
      <c r="AH55" s="791">
        <v>0</v>
      </c>
      <c r="AI55" s="791">
        <v>3</v>
      </c>
      <c r="AJ55" s="791">
        <v>30</v>
      </c>
      <c r="AK55" s="791">
        <v>0</v>
      </c>
      <c r="AL55" s="791">
        <v>0</v>
      </c>
      <c r="AO55">
        <f t="shared" si="1"/>
        <v>37</v>
      </c>
      <c r="AP55">
        <f t="shared" si="2"/>
        <v>0</v>
      </c>
    </row>
    <row r="56" spans="1:39" ht="14.5">
      <c r="A56" s="920"/>
      <c r="B56" s="793" t="s">
        <v>28</v>
      </c>
      <c r="C56" s="794">
        <f t="shared" si="3"/>
        <v>245.34399999999997</v>
      </c>
      <c r="D56" s="794">
        <v>251.12799999999999</v>
      </c>
      <c r="E56" s="794">
        <f>E55*E$4/1000</f>
        <v>11.375</v>
      </c>
      <c r="F56" s="794">
        <f t="shared" si="804" ref="F56">F55*F$4/1000</f>
        <v>88.488</v>
      </c>
      <c r="G56" s="794">
        <f t="shared" si="805" ref="G56">G55*G$4/1000</f>
        <v>13.667999999999999</v>
      </c>
      <c r="H56" s="794">
        <f t="shared" si="806" ref="H56">H55*H$4/1000</f>
        <v>3.4319999999999999</v>
      </c>
      <c r="I56" s="794">
        <f t="shared" si="807" ref="I56">I55*I$4/1000</f>
        <v>24.408000000000001</v>
      </c>
      <c r="J56" s="794">
        <f t="shared" si="808" ref="J56">J55*J$4/1000</f>
        <v>12.824999999999999</v>
      </c>
      <c r="K56" s="794">
        <f t="shared" si="809" ref="K56">K55*K$4/1000</f>
        <v>11.5</v>
      </c>
      <c r="L56" s="794">
        <f t="shared" si="810" ref="L56">L55*L$4/1000</f>
        <v>12.669000000000001</v>
      </c>
      <c r="M56" s="794">
        <f t="shared" si="811" ref="M56">M55*M$4/1000</f>
        <v>41.469999999999999</v>
      </c>
      <c r="N56" s="794">
        <f t="shared" si="812" ref="N56">N55*N$4/1000</f>
        <v>0</v>
      </c>
      <c r="O56" s="794">
        <f t="shared" si="813" ref="O56">O55*O$4/1000</f>
        <v>0.87</v>
      </c>
      <c r="P56" s="794">
        <f t="shared" si="814" ref="P56">P55*P$4/1000</f>
        <v>0.58799999999999997</v>
      </c>
      <c r="Q56" s="794">
        <f t="shared" si="815" ref="Q56">Q55*Q$4/1000</f>
        <v>0.91800000000000004</v>
      </c>
      <c r="R56" s="794">
        <f t="shared" si="816" ref="R56">R55*R$4/1000</f>
        <v>0.159</v>
      </c>
      <c r="S56" s="794">
        <f t="shared" si="817" ref="S56">S55*S$4/1000</f>
        <v>0.12</v>
      </c>
      <c r="T56" s="794">
        <f t="shared" si="818" ref="T56">T55*T$4/1000</f>
        <v>3.29</v>
      </c>
      <c r="U56" s="794">
        <f t="shared" si="819" ref="U56">U55*U$4/1000</f>
        <v>3.4079999999999999</v>
      </c>
      <c r="V56" s="794">
        <f t="shared" si="820" ref="V56">V55*V$4/1000</f>
        <v>0.93600000000000005</v>
      </c>
      <c r="W56" s="794">
        <f t="shared" si="821" ref="W56">W55*W$4/1000</f>
        <v>1.425</v>
      </c>
      <c r="X56" s="794">
        <f t="shared" si="822" ref="X56">X55*X$4/1000</f>
        <v>2.7200000000000002</v>
      </c>
      <c r="Y56" s="794">
        <f t="shared" si="823" ref="Y56">Y55*Y$4/1000</f>
        <v>2.1389999999999998</v>
      </c>
      <c r="Z56" s="794">
        <f t="shared" si="824" ref="Z56">Z55*Z$4/1000</f>
        <v>0.188</v>
      </c>
      <c r="AA56" s="794">
        <f t="shared" si="825" ref="AA56">AA55*AA$4/1000</f>
        <v>0.71399999999999997</v>
      </c>
      <c r="AB56" s="794">
        <f t="shared" si="826" ref="AB56">AB55*AB$4/1000</f>
        <v>0</v>
      </c>
      <c r="AC56" s="794">
        <f t="shared" si="827" ref="AC56">AC55*AC$4/1000</f>
        <v>0.45000000000000001</v>
      </c>
      <c r="AD56" s="794">
        <f t="shared" si="828" ref="AD56">AD55*AD$4/1000</f>
        <v>0</v>
      </c>
      <c r="AE56" s="794">
        <f t="shared" si="829" ref="AE56">AE55*AE$4/1000</f>
        <v>0.16400000000000001</v>
      </c>
      <c r="AF56" s="790"/>
      <c r="AG56" s="794">
        <f t="shared" si="830" ref="AG56">AG55*AG$4/1000</f>
        <v>0.40000000000000002</v>
      </c>
      <c r="AH56" s="794">
        <f t="shared" si="831" ref="AH56">AH55*AH$4/1000</f>
        <v>0</v>
      </c>
      <c r="AI56" s="794">
        <f t="shared" si="832" ref="AI56">AI55*AI$4/1000</f>
        <v>0.56999999999999995</v>
      </c>
      <c r="AJ56" s="794">
        <f t="shared" si="833" ref="AJ56">AJ55*AJ$4/1000</f>
        <v>6.4500000000000002</v>
      </c>
      <c r="AK56" s="794">
        <f t="shared" si="834" ref="AK56">AK55*AK$4/1000</f>
        <v>0</v>
      </c>
      <c r="AL56" s="794">
        <f t="shared" si="835" ref="AL56">AL55*AL$4/1000</f>
        <v>0</v>
      </c>
      <c r="AM56" s="794">
        <f t="shared" si="836" ref="AM56">AM55*AM$4/1000</f>
        <v>0</v>
      </c>
    </row>
    <row r="57" spans="1:42" ht="14.5">
      <c r="A57" s="920">
        <v>43040</v>
      </c>
      <c r="B57" s="788" t="s">
        <v>806</v>
      </c>
      <c r="C57" s="789">
        <f t="shared" si="3"/>
        <v>4595</v>
      </c>
      <c r="D57" s="789">
        <v>4676</v>
      </c>
      <c r="E57" s="789">
        <v>455</v>
      </c>
      <c r="F57" s="789">
        <f>2460-2</f>
        <v>2458</v>
      </c>
      <c r="G57" s="789">
        <v>268</v>
      </c>
      <c r="H57" s="789">
        <v>66</v>
      </c>
      <c r="I57" s="789">
        <f>410-71</f>
        <v>339</v>
      </c>
      <c r="J57" s="789">
        <f>179-8</f>
        <v>171</v>
      </c>
      <c r="K57" s="789">
        <v>125</v>
      </c>
      <c r="L57" s="789">
        <v>123</v>
      </c>
      <c r="M57" s="789">
        <v>290</v>
      </c>
      <c r="N57" s="790"/>
      <c r="O57" s="789">
        <v>29</v>
      </c>
      <c r="P57" s="789">
        <v>14</v>
      </c>
      <c r="Q57" s="789">
        <v>18</v>
      </c>
      <c r="R57" s="789">
        <v>3</v>
      </c>
      <c r="S57" s="789">
        <v>2</v>
      </c>
      <c r="T57" s="789">
        <v>47</v>
      </c>
      <c r="U57" s="789">
        <v>48</v>
      </c>
      <c r="V57" s="789">
        <v>13</v>
      </c>
      <c r="W57" s="789">
        <v>19</v>
      </c>
      <c r="X57" s="789">
        <v>34</v>
      </c>
      <c r="Y57" s="789">
        <v>23</v>
      </c>
      <c r="Z57" s="789">
        <v>2</v>
      </c>
      <c r="AA57" s="789">
        <v>7</v>
      </c>
      <c r="AB57" s="789"/>
      <c r="AC57" s="789">
        <v>3</v>
      </c>
      <c r="AD57" s="789"/>
      <c r="AE57" s="789">
        <v>1</v>
      </c>
      <c r="AF57" s="790"/>
      <c r="AG57" s="791">
        <v>4</v>
      </c>
      <c r="AH57" s="791">
        <v>0</v>
      </c>
      <c r="AI57" s="791">
        <v>3</v>
      </c>
      <c r="AJ57" s="791">
        <v>30</v>
      </c>
      <c r="AK57" s="791">
        <v>0</v>
      </c>
      <c r="AL57" s="791">
        <v>0</v>
      </c>
      <c r="AO57">
        <f t="shared" si="1"/>
        <v>37</v>
      </c>
      <c r="AP57">
        <f t="shared" si="2"/>
        <v>-8</v>
      </c>
    </row>
    <row r="58" spans="1:39" ht="14.5">
      <c r="A58" s="920"/>
      <c r="B58" s="793" t="s">
        <v>28</v>
      </c>
      <c r="C58" s="794">
        <f t="shared" si="3"/>
        <v>245.34399999999997</v>
      </c>
      <c r="D58" s="794">
        <v>251.12799999999999</v>
      </c>
      <c r="E58" s="794">
        <f>E57*E$4/1000</f>
        <v>11.375</v>
      </c>
      <c r="F58" s="794">
        <f t="shared" si="837" ref="F58">F57*F$4/1000</f>
        <v>88.488</v>
      </c>
      <c r="G58" s="794">
        <f t="shared" si="838" ref="G58">G57*G$4/1000</f>
        <v>13.667999999999999</v>
      </c>
      <c r="H58" s="794">
        <f t="shared" si="839" ref="H58">H57*H$4/1000</f>
        <v>3.4319999999999999</v>
      </c>
      <c r="I58" s="794">
        <f t="shared" si="840" ref="I58">I57*I$4/1000</f>
        <v>24.408000000000001</v>
      </c>
      <c r="J58" s="794">
        <f t="shared" si="841" ref="J58">J57*J$4/1000</f>
        <v>12.824999999999999</v>
      </c>
      <c r="K58" s="794">
        <f t="shared" si="842" ref="K58">K57*K$4/1000</f>
        <v>11.5</v>
      </c>
      <c r="L58" s="794">
        <f t="shared" si="843" ref="L58">L57*L$4/1000</f>
        <v>12.669000000000001</v>
      </c>
      <c r="M58" s="794">
        <f t="shared" si="844" ref="M58">M57*M$4/1000</f>
        <v>41.469999999999999</v>
      </c>
      <c r="N58" s="794">
        <f t="shared" si="845" ref="N58">N57*N$4/1000</f>
        <v>0</v>
      </c>
      <c r="O58" s="794">
        <f t="shared" si="846" ref="O58">O57*O$4/1000</f>
        <v>0.87</v>
      </c>
      <c r="P58" s="794">
        <f t="shared" si="847" ref="P58">P57*P$4/1000</f>
        <v>0.58799999999999997</v>
      </c>
      <c r="Q58" s="794">
        <f t="shared" si="848" ref="Q58">Q57*Q$4/1000</f>
        <v>0.91800000000000004</v>
      </c>
      <c r="R58" s="794">
        <f t="shared" si="849" ref="R58">R57*R$4/1000</f>
        <v>0.159</v>
      </c>
      <c r="S58" s="794">
        <f t="shared" si="850" ref="S58">S57*S$4/1000</f>
        <v>0.12</v>
      </c>
      <c r="T58" s="794">
        <f t="shared" si="851" ref="T58">T57*T$4/1000</f>
        <v>3.29</v>
      </c>
      <c r="U58" s="794">
        <f t="shared" si="852" ref="U58">U57*U$4/1000</f>
        <v>3.4079999999999999</v>
      </c>
      <c r="V58" s="794">
        <f t="shared" si="853" ref="V58">V57*V$4/1000</f>
        <v>0.93600000000000005</v>
      </c>
      <c r="W58" s="794">
        <f t="shared" si="854" ref="W58">W57*W$4/1000</f>
        <v>1.425</v>
      </c>
      <c r="X58" s="794">
        <f t="shared" si="855" ref="X58">X57*X$4/1000</f>
        <v>2.7200000000000002</v>
      </c>
      <c r="Y58" s="794">
        <f t="shared" si="856" ref="Y58">Y57*Y$4/1000</f>
        <v>2.1389999999999998</v>
      </c>
      <c r="Z58" s="794">
        <f t="shared" si="857" ref="Z58">Z57*Z$4/1000</f>
        <v>0.188</v>
      </c>
      <c r="AA58" s="794">
        <f t="shared" si="858" ref="AA58">AA57*AA$4/1000</f>
        <v>0.71399999999999997</v>
      </c>
      <c r="AB58" s="794">
        <f t="shared" si="859" ref="AB58">AB57*AB$4/1000</f>
        <v>0</v>
      </c>
      <c r="AC58" s="794">
        <f t="shared" si="860" ref="AC58">AC57*AC$4/1000</f>
        <v>0.45000000000000001</v>
      </c>
      <c r="AD58" s="794">
        <f t="shared" si="861" ref="AD58">AD57*AD$4/1000</f>
        <v>0</v>
      </c>
      <c r="AE58" s="794">
        <f t="shared" si="862" ref="AE58">AE57*AE$4/1000</f>
        <v>0.16400000000000001</v>
      </c>
      <c r="AF58" s="790"/>
      <c r="AG58" s="794">
        <f t="shared" si="863" ref="AG58">AG57*AG$4/1000</f>
        <v>0.40000000000000002</v>
      </c>
      <c r="AH58" s="794">
        <f t="shared" si="864" ref="AH58">AH57*AH$4/1000</f>
        <v>0</v>
      </c>
      <c r="AI58" s="794">
        <f t="shared" si="865" ref="AI58">AI57*AI$4/1000</f>
        <v>0.56999999999999995</v>
      </c>
      <c r="AJ58" s="794">
        <f t="shared" si="866" ref="AJ58">AJ57*AJ$4/1000</f>
        <v>6.4500000000000002</v>
      </c>
      <c r="AK58" s="794">
        <f t="shared" si="867" ref="AK58">AK57*AK$4/1000</f>
        <v>0</v>
      </c>
      <c r="AL58" s="794">
        <f t="shared" si="868" ref="AL58">AL57*AL$4/1000</f>
        <v>0</v>
      </c>
      <c r="AM58" s="794">
        <f t="shared" si="869" ref="AM58">AM57*AM$4/1000</f>
        <v>0</v>
      </c>
    </row>
    <row r="59" spans="1:42" ht="14.5">
      <c r="A59" s="918">
        <v>43009</v>
      </c>
      <c r="B59" s="788" t="s">
        <v>806</v>
      </c>
      <c r="C59" s="789">
        <f t="shared" si="3"/>
        <v>4595</v>
      </c>
      <c r="D59" s="789">
        <v>4674</v>
      </c>
      <c r="E59" s="789">
        <v>455</v>
      </c>
      <c r="F59" s="789">
        <v>2453</v>
      </c>
      <c r="G59" s="789">
        <v>268</v>
      </c>
      <c r="H59" s="789">
        <v>66</v>
      </c>
      <c r="I59" s="789">
        <f>409-71</f>
        <v>338</v>
      </c>
      <c r="J59" s="789">
        <f>179-8</f>
        <v>171</v>
      </c>
      <c r="K59" s="789">
        <v>125</v>
      </c>
      <c r="L59" s="789">
        <v>123</v>
      </c>
      <c r="M59" s="789">
        <v>288</v>
      </c>
      <c r="N59" s="790"/>
      <c r="O59" s="789">
        <v>29</v>
      </c>
      <c r="P59" s="789">
        <v>14</v>
      </c>
      <c r="Q59" s="789">
        <v>18</v>
      </c>
      <c r="R59" s="789">
        <v>3</v>
      </c>
      <c r="S59" s="789">
        <v>2</v>
      </c>
      <c r="T59" s="789">
        <v>47</v>
      </c>
      <c r="U59" s="789">
        <v>48</v>
      </c>
      <c r="V59" s="789">
        <v>13</v>
      </c>
      <c r="W59" s="789">
        <v>19</v>
      </c>
      <c r="X59" s="789">
        <v>34</v>
      </c>
      <c r="Y59" s="789">
        <v>23</v>
      </c>
      <c r="Z59" s="789">
        <v>2</v>
      </c>
      <c r="AA59" s="789">
        <v>7</v>
      </c>
      <c r="AB59" s="789"/>
      <c r="AC59" s="789">
        <v>3</v>
      </c>
      <c r="AD59" s="789"/>
      <c r="AE59" s="789">
        <v>1</v>
      </c>
      <c r="AF59" s="790"/>
      <c r="AG59" s="791">
        <v>12</v>
      </c>
      <c r="AH59" s="791">
        <v>-1</v>
      </c>
      <c r="AI59" s="791">
        <v>3</v>
      </c>
      <c r="AJ59" s="791">
        <v>31</v>
      </c>
      <c r="AK59" s="791">
        <v>0</v>
      </c>
      <c r="AL59" s="791">
        <v>0</v>
      </c>
      <c r="AO59">
        <f t="shared" si="1"/>
        <v>45</v>
      </c>
      <c r="AP59">
        <f t="shared" si="2"/>
        <v>-15</v>
      </c>
    </row>
    <row r="60" spans="1:39" ht="14.5">
      <c r="A60" s="919"/>
      <c r="B60" s="793" t="s">
        <v>28</v>
      </c>
      <c r="C60" s="794">
        <f t="shared" si="3"/>
        <v>245.68599999999995</v>
      </c>
      <c r="D60" s="794">
        <v>251.39799999999997</v>
      </c>
      <c r="E60" s="794">
        <f>E59*E$4/1000</f>
        <v>11.375</v>
      </c>
      <c r="F60" s="794">
        <f t="shared" si="870" ref="F60">F59*F$4/1000</f>
        <v>88.308000000000007</v>
      </c>
      <c r="G60" s="794">
        <f t="shared" si="871" ref="G60">G59*G$4/1000</f>
        <v>13.667999999999999</v>
      </c>
      <c r="H60" s="794">
        <f t="shared" si="872" ref="H60">H59*H$4/1000</f>
        <v>3.4319999999999999</v>
      </c>
      <c r="I60" s="794">
        <f t="shared" si="873" ref="I60">I59*I$4/1000</f>
        <v>24.335999999999999</v>
      </c>
      <c r="J60" s="794">
        <f t="shared" si="874" ref="J60">J59*J$4/1000</f>
        <v>12.824999999999999</v>
      </c>
      <c r="K60" s="794">
        <f t="shared" si="875" ref="K60">K59*K$4/1000</f>
        <v>11.5</v>
      </c>
      <c r="L60" s="794">
        <f t="shared" si="876" ref="L60">L59*L$4/1000</f>
        <v>12.669000000000001</v>
      </c>
      <c r="M60" s="794">
        <f t="shared" si="877" ref="M60">M59*M$4/1000</f>
        <v>41.183999999999998</v>
      </c>
      <c r="N60" s="794">
        <f t="shared" si="878" ref="N60">N59*N$4/1000</f>
        <v>0</v>
      </c>
      <c r="O60" s="794">
        <f t="shared" si="879" ref="O60">O59*O$4/1000</f>
        <v>0.87</v>
      </c>
      <c r="P60" s="794">
        <f t="shared" si="880" ref="P60">P59*P$4/1000</f>
        <v>0.58799999999999997</v>
      </c>
      <c r="Q60" s="794">
        <f t="shared" si="881" ref="Q60">Q59*Q$4/1000</f>
        <v>0.91800000000000004</v>
      </c>
      <c r="R60" s="794">
        <f t="shared" si="882" ref="R60">R59*R$4/1000</f>
        <v>0.159</v>
      </c>
      <c r="S60" s="794">
        <f t="shared" si="883" ref="S60">S59*S$4/1000</f>
        <v>0.12</v>
      </c>
      <c r="T60" s="794">
        <f t="shared" si="884" ref="T60">T59*T$4/1000</f>
        <v>3.29</v>
      </c>
      <c r="U60" s="794">
        <f t="shared" si="885" ref="U60">U59*U$4/1000</f>
        <v>3.4079999999999999</v>
      </c>
      <c r="V60" s="794">
        <f t="shared" si="886" ref="V60">V59*V$4/1000</f>
        <v>0.93600000000000005</v>
      </c>
      <c r="W60" s="794">
        <f t="shared" si="887" ref="W60">W59*W$4/1000</f>
        <v>1.425</v>
      </c>
      <c r="X60" s="794">
        <f t="shared" si="888" ref="X60">X59*X$4/1000</f>
        <v>2.7200000000000002</v>
      </c>
      <c r="Y60" s="794">
        <f t="shared" si="889" ref="Y60">Y59*Y$4/1000</f>
        <v>2.1389999999999998</v>
      </c>
      <c r="Z60" s="794">
        <f t="shared" si="890" ref="Z60">Z59*Z$4/1000</f>
        <v>0.188</v>
      </c>
      <c r="AA60" s="794">
        <f t="shared" si="891" ref="AA60">AA59*AA$4/1000</f>
        <v>0.71399999999999997</v>
      </c>
      <c r="AB60" s="794">
        <f t="shared" si="892" ref="AB60">AB59*AB$4/1000</f>
        <v>0</v>
      </c>
      <c r="AC60" s="794">
        <f t="shared" si="893" ref="AC60">AC59*AC$4/1000</f>
        <v>0.45000000000000001</v>
      </c>
      <c r="AD60" s="794">
        <f t="shared" si="894" ref="AD60">AD59*AD$4/1000</f>
        <v>0</v>
      </c>
      <c r="AE60" s="794">
        <f t="shared" si="895" ref="AE60">AE59*AE$4/1000</f>
        <v>0.16400000000000001</v>
      </c>
      <c r="AF60" s="790"/>
      <c r="AG60" s="794">
        <f t="shared" si="896" ref="AG60">AG59*AG$4/1000</f>
        <v>1.2</v>
      </c>
      <c r="AH60" s="794">
        <f t="shared" si="897" ref="AH60">AH59*AH$4/1000</f>
        <v>-0.13500000000000001</v>
      </c>
      <c r="AI60" s="794">
        <f t="shared" si="898" ref="AI60">AI59*AI$4/1000</f>
        <v>0.56999999999999995</v>
      </c>
      <c r="AJ60" s="794">
        <f t="shared" si="899" ref="AJ60">AJ59*AJ$4/1000</f>
        <v>6.665</v>
      </c>
      <c r="AK60" s="794">
        <f t="shared" si="900" ref="AK60">AK59*AK$4/1000</f>
        <v>0</v>
      </c>
      <c r="AL60" s="794">
        <f t="shared" si="901" ref="AL60">AL59*AL$4/1000</f>
        <v>0</v>
      </c>
      <c r="AM60" s="794">
        <f t="shared" si="902" ref="AM60">AM59*AM$4/1000</f>
        <v>0</v>
      </c>
    </row>
    <row r="61" spans="1:42" ht="14.5">
      <c r="A61" s="918">
        <v>42979</v>
      </c>
      <c r="B61" s="788"/>
      <c r="C61" s="789">
        <f t="shared" si="3"/>
        <v>4595</v>
      </c>
      <c r="D61" s="789">
        <v>4674</v>
      </c>
      <c r="E61" s="789">
        <v>455</v>
      </c>
      <c r="F61" s="789">
        <v>2448</v>
      </c>
      <c r="G61" s="789">
        <v>267</v>
      </c>
      <c r="H61" s="789">
        <v>66</v>
      </c>
      <c r="I61" s="789">
        <f>402-72</f>
        <v>330</v>
      </c>
      <c r="J61" s="789">
        <f>177-7</f>
        <v>170</v>
      </c>
      <c r="K61" s="789">
        <v>125</v>
      </c>
      <c r="L61" s="789">
        <v>123</v>
      </c>
      <c r="M61" s="789">
        <v>288</v>
      </c>
      <c r="N61" s="790"/>
      <c r="O61" s="789">
        <v>29</v>
      </c>
      <c r="P61" s="789">
        <v>14</v>
      </c>
      <c r="Q61" s="789">
        <v>18</v>
      </c>
      <c r="R61" s="789">
        <v>3</v>
      </c>
      <c r="S61" s="789">
        <v>2</v>
      </c>
      <c r="T61" s="789">
        <v>47</v>
      </c>
      <c r="U61" s="789">
        <v>48</v>
      </c>
      <c r="V61" s="789">
        <v>13</v>
      </c>
      <c r="W61" s="789">
        <v>19</v>
      </c>
      <c r="X61" s="789">
        <v>34</v>
      </c>
      <c r="Y61" s="789">
        <v>23</v>
      </c>
      <c r="Z61" s="789">
        <v>2</v>
      </c>
      <c r="AA61" s="789">
        <v>7</v>
      </c>
      <c r="AB61" s="789"/>
      <c r="AC61" s="789">
        <v>3</v>
      </c>
      <c r="AD61" s="789"/>
      <c r="AE61" s="789">
        <v>1</v>
      </c>
      <c r="AF61" s="790"/>
      <c r="AG61" s="791">
        <v>17</v>
      </c>
      <c r="AH61" s="791">
        <v>3</v>
      </c>
      <c r="AI61" s="791">
        <v>8</v>
      </c>
      <c r="AJ61" s="791">
        <v>32</v>
      </c>
      <c r="AK61" s="791">
        <v>0</v>
      </c>
      <c r="AL61" s="791">
        <v>0</v>
      </c>
      <c r="AO61">
        <f t="shared" si="1"/>
        <v>60</v>
      </c>
      <c r="AP61">
        <f t="shared" si="2"/>
        <v>0</v>
      </c>
    </row>
    <row r="62" spans="1:39" ht="14.5">
      <c r="A62" s="919"/>
      <c r="B62" s="793"/>
      <c r="C62" s="794">
        <f t="shared" si="3"/>
        <v>247.00899999999999</v>
      </c>
      <c r="D62" s="794">
        <v>252.71799999999999</v>
      </c>
      <c r="E62" s="794">
        <f>E61*E$4/1000</f>
        <v>11.375</v>
      </c>
      <c r="F62" s="794">
        <f t="shared" si="903" ref="F62">F61*F$4/1000</f>
        <v>88.128</v>
      </c>
      <c r="G62" s="794">
        <f t="shared" si="904" ref="G62">G61*G$4/1000</f>
        <v>13.617000000000001</v>
      </c>
      <c r="H62" s="794">
        <f t="shared" si="905" ref="H62">H61*H$4/1000</f>
        <v>3.4319999999999999</v>
      </c>
      <c r="I62" s="794">
        <f t="shared" si="906" ref="I62">I61*I$4/1000</f>
        <v>23.760000000000002</v>
      </c>
      <c r="J62" s="794">
        <f t="shared" si="907" ref="J62">J61*J$4/1000</f>
        <v>12.75</v>
      </c>
      <c r="K62" s="794">
        <f t="shared" si="908" ref="K62">K61*K$4/1000</f>
        <v>11.5</v>
      </c>
      <c r="L62" s="794">
        <f t="shared" si="909" ref="L62">L61*L$4/1000</f>
        <v>12.669000000000001</v>
      </c>
      <c r="M62" s="794">
        <f t="shared" si="910" ref="M62">M61*M$4/1000</f>
        <v>41.183999999999998</v>
      </c>
      <c r="N62" s="794">
        <f t="shared" si="911" ref="N62">N61*N$4/1000</f>
        <v>0</v>
      </c>
      <c r="O62" s="794">
        <f t="shared" si="912" ref="O62">O61*O$4/1000</f>
        <v>0.87</v>
      </c>
      <c r="P62" s="794">
        <f t="shared" si="913" ref="P62">P61*P$4/1000</f>
        <v>0.58799999999999997</v>
      </c>
      <c r="Q62" s="794">
        <f t="shared" si="914" ref="Q62">Q61*Q$4/1000</f>
        <v>0.91800000000000004</v>
      </c>
      <c r="R62" s="794">
        <f t="shared" si="915" ref="R62">R61*R$4/1000</f>
        <v>0.159</v>
      </c>
      <c r="S62" s="794">
        <f t="shared" si="916" ref="S62">S61*S$4/1000</f>
        <v>0.12</v>
      </c>
      <c r="T62" s="794">
        <f t="shared" si="917" ref="T62">T61*T$4/1000</f>
        <v>3.29</v>
      </c>
      <c r="U62" s="794">
        <f t="shared" si="918" ref="U62">U61*U$4/1000</f>
        <v>3.4079999999999999</v>
      </c>
      <c r="V62" s="794">
        <f t="shared" si="919" ref="V62">V61*V$4/1000</f>
        <v>0.93600000000000005</v>
      </c>
      <c r="W62" s="794">
        <f t="shared" si="920" ref="W62">W61*W$4/1000</f>
        <v>1.425</v>
      </c>
      <c r="X62" s="794">
        <f t="shared" si="921" ref="X62">X61*X$4/1000</f>
        <v>2.7200000000000002</v>
      </c>
      <c r="Y62" s="794">
        <f t="shared" si="922" ref="Y62">Y61*Y$4/1000</f>
        <v>2.1389999999999998</v>
      </c>
      <c r="Z62" s="794">
        <f t="shared" si="923" ref="Z62">Z61*Z$4/1000</f>
        <v>0.188</v>
      </c>
      <c r="AA62" s="794">
        <f t="shared" si="924" ref="AA62">AA61*AA$4/1000</f>
        <v>0.71399999999999997</v>
      </c>
      <c r="AB62" s="794">
        <f t="shared" si="925" ref="AB62">AB61*AB$4/1000</f>
        <v>0</v>
      </c>
      <c r="AC62" s="794">
        <f t="shared" si="926" ref="AC62">AC61*AC$4/1000</f>
        <v>0.45000000000000001</v>
      </c>
      <c r="AD62" s="794">
        <f t="shared" si="927" ref="AD62">AD61*AD$4/1000</f>
        <v>0</v>
      </c>
      <c r="AE62" s="794">
        <f t="shared" si="928" ref="AE62">AE61*AE$4/1000</f>
        <v>0.16400000000000001</v>
      </c>
      <c r="AF62" s="790"/>
      <c r="AG62" s="794">
        <f t="shared" si="929" ref="AG62">AG61*AG$4/1000</f>
        <v>1.7</v>
      </c>
      <c r="AH62" s="794">
        <f t="shared" si="930" ref="AH62">AH61*AH$4/1000</f>
        <v>0.40500000000000003</v>
      </c>
      <c r="AI62" s="794">
        <f t="shared" si="931" ref="AI62">AI61*AI$4/1000</f>
        <v>1.52</v>
      </c>
      <c r="AJ62" s="794">
        <f t="shared" si="932" ref="AJ62">AJ61*AJ$4/1000</f>
        <v>6.8799999999999999</v>
      </c>
      <c r="AK62" s="794">
        <f t="shared" si="933" ref="AK62">AK61*AK$4/1000</f>
        <v>0</v>
      </c>
      <c r="AL62" s="794">
        <f t="shared" si="934" ref="AL62">AL61*AL$4/1000</f>
        <v>0</v>
      </c>
      <c r="AM62" s="794">
        <f t="shared" si="935" ref="AM62">AM61*AM$4/1000</f>
        <v>0</v>
      </c>
    </row>
    <row r="63" spans="1:42" ht="14.5">
      <c r="A63" s="918">
        <v>42948</v>
      </c>
      <c r="B63" s="788"/>
      <c r="C63" s="789">
        <f t="shared" si="3"/>
        <v>4595</v>
      </c>
      <c r="D63" s="789">
        <v>4674</v>
      </c>
      <c r="E63" s="789">
        <v>455</v>
      </c>
      <c r="F63" s="789">
        <v>2448</v>
      </c>
      <c r="G63" s="789">
        <v>267</v>
      </c>
      <c r="H63" s="789">
        <v>66</v>
      </c>
      <c r="I63" s="789">
        <f>402-74</f>
        <v>328</v>
      </c>
      <c r="J63" s="789">
        <f>177-5</f>
        <v>172</v>
      </c>
      <c r="K63" s="789">
        <v>125</v>
      </c>
      <c r="L63" s="789">
        <v>123</v>
      </c>
      <c r="M63" s="789">
        <v>288</v>
      </c>
      <c r="N63" s="790"/>
      <c r="O63" s="789">
        <v>29</v>
      </c>
      <c r="P63" s="789">
        <v>14</v>
      </c>
      <c r="Q63" s="789">
        <v>18</v>
      </c>
      <c r="R63" s="789">
        <v>3</v>
      </c>
      <c r="S63" s="789">
        <v>2</v>
      </c>
      <c r="T63" s="789">
        <v>47</v>
      </c>
      <c r="U63" s="789">
        <v>48</v>
      </c>
      <c r="V63" s="789">
        <v>13</v>
      </c>
      <c r="W63" s="789">
        <v>19</v>
      </c>
      <c r="X63" s="789">
        <v>34</v>
      </c>
      <c r="Y63" s="789">
        <v>23</v>
      </c>
      <c r="Z63" s="789">
        <v>2</v>
      </c>
      <c r="AA63" s="789">
        <v>7</v>
      </c>
      <c r="AB63" s="789"/>
      <c r="AC63" s="789">
        <v>3</v>
      </c>
      <c r="AD63" s="789"/>
      <c r="AE63" s="789">
        <v>1</v>
      </c>
      <c r="AF63" s="790"/>
      <c r="AG63" s="791">
        <v>17</v>
      </c>
      <c r="AH63" s="791">
        <v>3</v>
      </c>
      <c r="AI63" s="791">
        <v>8</v>
      </c>
      <c r="AJ63" s="791">
        <v>32</v>
      </c>
      <c r="AK63" s="791">
        <v>0</v>
      </c>
      <c r="AL63" s="791">
        <v>0</v>
      </c>
      <c r="AO63">
        <f t="shared" si="1"/>
        <v>60</v>
      </c>
      <c r="AP63">
        <f t="shared" si="2"/>
        <v>-47</v>
      </c>
    </row>
    <row r="64" spans="1:39" ht="14.5">
      <c r="A64" s="919"/>
      <c r="B64" s="793"/>
      <c r="C64" s="794">
        <f t="shared" si="3"/>
        <v>247.01499999999999</v>
      </c>
      <c r="D64" s="794">
        <v>252.71799999999999</v>
      </c>
      <c r="E64" s="794">
        <f>E63*E$4/1000</f>
        <v>11.375</v>
      </c>
      <c r="F64" s="794">
        <f t="shared" si="936" ref="F64">F63*F$4/1000</f>
        <v>88.128</v>
      </c>
      <c r="G64" s="794">
        <f t="shared" si="937" ref="G64">G63*G$4/1000</f>
        <v>13.617000000000001</v>
      </c>
      <c r="H64" s="794">
        <f t="shared" si="938" ref="H64">H63*H$4/1000</f>
        <v>3.4319999999999999</v>
      </c>
      <c r="I64" s="794">
        <f t="shared" si="939" ref="I64">I63*I$4/1000</f>
        <v>23.616</v>
      </c>
      <c r="J64" s="794">
        <f t="shared" si="940" ref="J64">J63*J$4/1000</f>
        <v>12.9</v>
      </c>
      <c r="K64" s="794">
        <f t="shared" si="941" ref="K64">K63*K$4/1000</f>
        <v>11.5</v>
      </c>
      <c r="L64" s="794">
        <f t="shared" si="942" ref="L64">L63*L$4/1000</f>
        <v>12.669000000000001</v>
      </c>
      <c r="M64" s="794">
        <f t="shared" si="943" ref="M64">M63*M$4/1000</f>
        <v>41.183999999999998</v>
      </c>
      <c r="N64" s="794">
        <f t="shared" si="944" ref="N64">N63*N$4/1000</f>
        <v>0</v>
      </c>
      <c r="O64" s="794">
        <f t="shared" si="945" ref="O64">O63*O$4/1000</f>
        <v>0.87</v>
      </c>
      <c r="P64" s="794">
        <f t="shared" si="946" ref="P64">P63*P$4/1000</f>
        <v>0.58799999999999997</v>
      </c>
      <c r="Q64" s="794">
        <f t="shared" si="947" ref="Q64">Q63*Q$4/1000</f>
        <v>0.91800000000000004</v>
      </c>
      <c r="R64" s="794">
        <f t="shared" si="948" ref="R64">R63*R$4/1000</f>
        <v>0.159</v>
      </c>
      <c r="S64" s="794">
        <f t="shared" si="949" ref="S64">S63*S$4/1000</f>
        <v>0.12</v>
      </c>
      <c r="T64" s="794">
        <f t="shared" si="950" ref="T64">T63*T$4/1000</f>
        <v>3.29</v>
      </c>
      <c r="U64" s="794">
        <f t="shared" si="951" ref="U64">U63*U$4/1000</f>
        <v>3.4079999999999999</v>
      </c>
      <c r="V64" s="794">
        <f t="shared" si="952" ref="V64">V63*V$4/1000</f>
        <v>0.93600000000000005</v>
      </c>
      <c r="W64" s="794">
        <f t="shared" si="953" ref="W64">W63*W$4/1000</f>
        <v>1.425</v>
      </c>
      <c r="X64" s="794">
        <f t="shared" si="954" ref="X64">X63*X$4/1000</f>
        <v>2.7200000000000002</v>
      </c>
      <c r="Y64" s="794">
        <f t="shared" si="955" ref="Y64">Y63*Y$4/1000</f>
        <v>2.1389999999999998</v>
      </c>
      <c r="Z64" s="794">
        <f t="shared" si="956" ref="Z64">Z63*Z$4/1000</f>
        <v>0.188</v>
      </c>
      <c r="AA64" s="794">
        <f t="shared" si="957" ref="AA64">AA63*AA$4/1000</f>
        <v>0.71399999999999997</v>
      </c>
      <c r="AB64" s="794">
        <f t="shared" si="958" ref="AB64">AB63*AB$4/1000</f>
        <v>0</v>
      </c>
      <c r="AC64" s="794">
        <f t="shared" si="959" ref="AC64">AC63*AC$4/1000</f>
        <v>0.45000000000000001</v>
      </c>
      <c r="AD64" s="794">
        <f t="shared" si="960" ref="AD64">AD63*AD$4/1000</f>
        <v>0</v>
      </c>
      <c r="AE64" s="794">
        <f t="shared" si="961" ref="AE64">AE63*AE$4/1000</f>
        <v>0.16400000000000001</v>
      </c>
      <c r="AF64" s="790"/>
      <c r="AG64" s="794">
        <f t="shared" si="962" ref="AG64">AG63*AG$4/1000</f>
        <v>1.7</v>
      </c>
      <c r="AH64" s="794">
        <f t="shared" si="963" ref="AH64">AH63*AH$4/1000</f>
        <v>0.40500000000000003</v>
      </c>
      <c r="AI64" s="794">
        <f t="shared" si="964" ref="AI64">AI63*AI$4/1000</f>
        <v>1.52</v>
      </c>
      <c r="AJ64" s="794">
        <f t="shared" si="965" ref="AJ64">AJ63*AJ$4/1000</f>
        <v>6.8799999999999999</v>
      </c>
      <c r="AK64" s="794">
        <f t="shared" si="966" ref="AK64">AK63*AK$4/1000</f>
        <v>0</v>
      </c>
      <c r="AL64" s="794">
        <f t="shared" si="967" ref="AL64">AL63*AL$4/1000</f>
        <v>0</v>
      </c>
      <c r="AM64" s="794">
        <f t="shared" si="968" ref="AM64">AM63*AM$4/1000</f>
        <v>0</v>
      </c>
    </row>
    <row r="65" spans="1:42" ht="14.5">
      <c r="A65" s="918">
        <v>42917</v>
      </c>
      <c r="B65" s="788"/>
      <c r="C65" s="789">
        <f t="shared" si="3"/>
        <v>4595</v>
      </c>
      <c r="D65" s="789">
        <v>4706</v>
      </c>
      <c r="E65" s="789">
        <v>455</v>
      </c>
      <c r="F65" s="789">
        <v>2434</v>
      </c>
      <c r="G65" s="789">
        <v>267</v>
      </c>
      <c r="H65" s="789">
        <v>66</v>
      </c>
      <c r="I65" s="789">
        <f>402-84</f>
        <v>318</v>
      </c>
      <c r="J65" s="789">
        <f>176-12</f>
        <v>164</v>
      </c>
      <c r="K65" s="789">
        <f>125-15</f>
        <v>110</v>
      </c>
      <c r="L65" s="789">
        <v>123</v>
      </c>
      <c r="M65" s="789">
        <v>288</v>
      </c>
      <c r="N65" s="790"/>
      <c r="O65" s="789">
        <v>29</v>
      </c>
      <c r="P65" s="789">
        <v>14</v>
      </c>
      <c r="Q65" s="789">
        <v>18</v>
      </c>
      <c r="R65" s="789">
        <v>3</v>
      </c>
      <c r="S65" s="789">
        <v>2</v>
      </c>
      <c r="T65" s="789">
        <v>47</v>
      </c>
      <c r="U65" s="789">
        <v>48</v>
      </c>
      <c r="V65" s="789">
        <v>13</v>
      </c>
      <c r="W65" s="789">
        <v>19</v>
      </c>
      <c r="X65" s="789">
        <v>34</v>
      </c>
      <c r="Y65" s="789">
        <v>23</v>
      </c>
      <c r="Z65" s="789">
        <v>2</v>
      </c>
      <c r="AA65" s="789">
        <v>7</v>
      </c>
      <c r="AB65" s="789"/>
      <c r="AC65" s="789">
        <v>3</v>
      </c>
      <c r="AD65" s="789"/>
      <c r="AE65" s="789">
        <v>1</v>
      </c>
      <c r="AF65" s="790"/>
      <c r="AG65" s="791">
        <v>31</v>
      </c>
      <c r="AH65" s="791">
        <v>3</v>
      </c>
      <c r="AI65" s="791">
        <v>8</v>
      </c>
      <c r="AJ65" s="791">
        <v>65</v>
      </c>
      <c r="AK65" s="791">
        <v>0</v>
      </c>
      <c r="AL65" s="791">
        <v>0</v>
      </c>
      <c r="AO65">
        <f t="shared" si="1"/>
        <v>107</v>
      </c>
      <c r="AP65">
        <f t="shared" si="2"/>
        <v>-21</v>
      </c>
    </row>
    <row r="66" spans="1:39" ht="14.5">
      <c r="A66" s="919"/>
      <c r="B66" s="793"/>
      <c r="C66" s="794">
        <f t="shared" si="3"/>
        <v>252.30600000000001</v>
      </c>
      <c r="D66" s="794">
        <v>260.63399999999996</v>
      </c>
      <c r="E66" s="794">
        <f>E65*E$4/1000</f>
        <v>11.375</v>
      </c>
      <c r="F66" s="794">
        <f t="shared" si="969" ref="F66">F65*F$4/1000</f>
        <v>87.623999999999995</v>
      </c>
      <c r="G66" s="794">
        <f t="shared" si="970" ref="G66">G65*G$4/1000</f>
        <v>13.617000000000001</v>
      </c>
      <c r="H66" s="794">
        <f t="shared" si="971" ref="H66">H65*H$4/1000</f>
        <v>3.4319999999999999</v>
      </c>
      <c r="I66" s="794">
        <f t="shared" si="972" ref="I66">I65*I$4/1000</f>
        <v>22.896000000000001</v>
      </c>
      <c r="J66" s="794">
        <f t="shared" si="973" ref="J66">J65*J$4/1000</f>
        <v>12.300000000000001</v>
      </c>
      <c r="K66" s="794">
        <f t="shared" si="974" ref="K66">K65*K$4/1000</f>
        <v>10.119999999999999</v>
      </c>
      <c r="L66" s="794">
        <f t="shared" si="975" ref="L66">L65*L$4/1000</f>
        <v>12.669000000000001</v>
      </c>
      <c r="M66" s="794">
        <f t="shared" si="976" ref="M66">M65*M$4/1000</f>
        <v>41.183999999999998</v>
      </c>
      <c r="N66" s="794">
        <f t="shared" si="977" ref="N66">N65*N$4/1000</f>
        <v>0</v>
      </c>
      <c r="O66" s="794">
        <f t="shared" si="978" ref="O66">O65*O$4/1000</f>
        <v>0.87</v>
      </c>
      <c r="P66" s="794">
        <f t="shared" si="979" ref="P66">P65*P$4/1000</f>
        <v>0.58799999999999997</v>
      </c>
      <c r="Q66" s="794">
        <f t="shared" si="980" ref="Q66">Q65*Q$4/1000</f>
        <v>0.91800000000000004</v>
      </c>
      <c r="R66" s="794">
        <f t="shared" si="981" ref="R66">R65*R$4/1000</f>
        <v>0.159</v>
      </c>
      <c r="S66" s="794">
        <f t="shared" si="982" ref="S66">S65*S$4/1000</f>
        <v>0.12</v>
      </c>
      <c r="T66" s="794">
        <f t="shared" si="983" ref="T66">T65*T$4/1000</f>
        <v>3.29</v>
      </c>
      <c r="U66" s="794">
        <f t="shared" si="984" ref="U66">U65*U$4/1000</f>
        <v>3.4079999999999999</v>
      </c>
      <c r="V66" s="794">
        <f t="shared" si="985" ref="V66">V65*V$4/1000</f>
        <v>0.93600000000000005</v>
      </c>
      <c r="W66" s="794">
        <f t="shared" si="986" ref="W66">W65*W$4/1000</f>
        <v>1.425</v>
      </c>
      <c r="X66" s="794">
        <f t="shared" si="987" ref="X66">X65*X$4/1000</f>
        <v>2.7200000000000002</v>
      </c>
      <c r="Y66" s="794">
        <f t="shared" si="988" ref="Y66">Y65*Y$4/1000</f>
        <v>2.1389999999999998</v>
      </c>
      <c r="Z66" s="794">
        <f t="shared" si="989" ref="Z66">Z65*Z$4/1000</f>
        <v>0.188</v>
      </c>
      <c r="AA66" s="794">
        <f t="shared" si="990" ref="AA66">AA65*AA$4/1000</f>
        <v>0.71399999999999997</v>
      </c>
      <c r="AB66" s="794">
        <f t="shared" si="991" ref="AB66">AB65*AB$4/1000</f>
        <v>0</v>
      </c>
      <c r="AC66" s="794">
        <f t="shared" si="992" ref="AC66">AC65*AC$4/1000</f>
        <v>0.45000000000000001</v>
      </c>
      <c r="AD66" s="794">
        <f t="shared" si="993" ref="AD66">AD65*AD$4/1000</f>
        <v>0</v>
      </c>
      <c r="AE66" s="794">
        <f t="shared" si="994" ref="AE66">AE65*AE$4/1000</f>
        <v>0.16400000000000001</v>
      </c>
      <c r="AF66" s="790"/>
      <c r="AG66" s="794">
        <f t="shared" si="995" ref="AG66">AG65*AG$4/1000</f>
        <v>3.1000000000000001</v>
      </c>
      <c r="AH66" s="794">
        <f t="shared" si="996" ref="AH66">AH65*AH$4/1000</f>
        <v>0.40500000000000003</v>
      </c>
      <c r="AI66" s="794">
        <f t="shared" si="997" ref="AI66">AI65*AI$4/1000</f>
        <v>1.52</v>
      </c>
      <c r="AJ66" s="794">
        <f t="shared" si="998" ref="AJ66">AJ65*AJ$4/1000</f>
        <v>13.975</v>
      </c>
      <c r="AK66" s="794">
        <f t="shared" si="999" ref="AK66">AK65*AK$4/1000</f>
        <v>0</v>
      </c>
      <c r="AL66" s="794">
        <f t="shared" si="1000" ref="AL66">AL65*AL$4/1000</f>
        <v>0</v>
      </c>
      <c r="AM66" s="794">
        <f t="shared" si="1001" ref="AM66">AM65*AM$4/1000</f>
        <v>0</v>
      </c>
    </row>
    <row r="67" spans="1:42" ht="14.5">
      <c r="A67" s="918">
        <v>42887</v>
      </c>
      <c r="B67" s="788"/>
      <c r="C67" s="789">
        <f t="shared" si="3"/>
        <v>4595</v>
      </c>
      <c r="D67" s="789">
        <v>4687</v>
      </c>
      <c r="E67" s="789">
        <v>455</v>
      </c>
      <c r="F67" s="789">
        <v>2434</v>
      </c>
      <c r="G67" s="789">
        <v>260</v>
      </c>
      <c r="H67" s="789">
        <v>52</v>
      </c>
      <c r="I67" s="789">
        <f>402-84</f>
        <v>318</v>
      </c>
      <c r="J67" s="789">
        <f>172-8</f>
        <v>164</v>
      </c>
      <c r="K67" s="789">
        <v>110</v>
      </c>
      <c r="L67" s="789">
        <v>123</v>
      </c>
      <c r="M67" s="789">
        <v>288</v>
      </c>
      <c r="N67" s="790"/>
      <c r="O67" s="789">
        <v>29</v>
      </c>
      <c r="P67" s="789">
        <v>14</v>
      </c>
      <c r="Q67" s="789">
        <v>18</v>
      </c>
      <c r="R67" s="789">
        <v>3</v>
      </c>
      <c r="S67" s="789">
        <v>2</v>
      </c>
      <c r="T67" s="789">
        <v>47</v>
      </c>
      <c r="U67" s="789">
        <v>48</v>
      </c>
      <c r="V67" s="789">
        <v>13</v>
      </c>
      <c r="W67" s="789">
        <v>19</v>
      </c>
      <c r="X67" s="789">
        <v>34</v>
      </c>
      <c r="Y67" s="789">
        <v>23</v>
      </c>
      <c r="Z67" s="789">
        <v>2</v>
      </c>
      <c r="AA67" s="789">
        <v>7</v>
      </c>
      <c r="AB67" s="789"/>
      <c r="AC67" s="789">
        <v>3</v>
      </c>
      <c r="AD67" s="789"/>
      <c r="AE67" s="789">
        <v>1</v>
      </c>
      <c r="AF67" s="790"/>
      <c r="AG67" s="791">
        <v>33</v>
      </c>
      <c r="AH67" s="791">
        <v>20</v>
      </c>
      <c r="AI67" s="791">
        <v>8</v>
      </c>
      <c r="AJ67" s="791">
        <v>67</v>
      </c>
      <c r="AK67" s="791">
        <v>0</v>
      </c>
      <c r="AL67" s="791">
        <v>0</v>
      </c>
      <c r="AO67">
        <f t="shared" si="1"/>
        <v>128</v>
      </c>
      <c r="AP67">
        <f t="shared" si="2"/>
        <v>-47</v>
      </c>
    </row>
    <row r="68" spans="1:39" ht="14.5">
      <c r="A68" s="919"/>
      <c r="B68" s="793"/>
      <c r="C68" s="794">
        <f t="shared" si="3"/>
        <v>254.14599999999999</v>
      </c>
      <c r="D68" s="794">
        <v>260.79399999999998</v>
      </c>
      <c r="E68" s="794">
        <f>E67*E$4/1000</f>
        <v>11.375</v>
      </c>
      <c r="F68" s="794">
        <f t="shared" si="1002" ref="F68">F67*F$4/1000</f>
        <v>87.623999999999995</v>
      </c>
      <c r="G68" s="794">
        <f t="shared" si="1003" ref="G68">G67*G$4/1000</f>
        <v>13.26</v>
      </c>
      <c r="H68" s="794">
        <f t="shared" si="1004" ref="H68">H67*H$4/1000</f>
        <v>2.7040000000000002</v>
      </c>
      <c r="I68" s="794">
        <f t="shared" si="1005" ref="I68">I67*I$4/1000</f>
        <v>22.896000000000001</v>
      </c>
      <c r="J68" s="794">
        <f t="shared" si="1006" ref="J68">J67*J$4/1000</f>
        <v>12.300000000000001</v>
      </c>
      <c r="K68" s="794">
        <f t="shared" si="1007" ref="K68">K67*K$4/1000</f>
        <v>10.119999999999999</v>
      </c>
      <c r="L68" s="794">
        <f t="shared" si="1008" ref="L68">L67*L$4/1000</f>
        <v>12.669000000000001</v>
      </c>
      <c r="M68" s="794">
        <f t="shared" si="1009" ref="M68">M67*M$4/1000</f>
        <v>41.183999999999998</v>
      </c>
      <c r="N68" s="794">
        <f t="shared" si="1010" ref="N68">N67*N$4/1000</f>
        <v>0</v>
      </c>
      <c r="O68" s="794">
        <f t="shared" si="1011" ref="O68">O67*O$4/1000</f>
        <v>0.87</v>
      </c>
      <c r="P68" s="794">
        <f t="shared" si="1012" ref="P68">P67*P$4/1000</f>
        <v>0.58799999999999997</v>
      </c>
      <c r="Q68" s="794">
        <f t="shared" si="1013" ref="Q68">Q67*Q$4/1000</f>
        <v>0.91800000000000004</v>
      </c>
      <c r="R68" s="794">
        <f t="shared" si="1014" ref="R68">R67*R$4/1000</f>
        <v>0.159</v>
      </c>
      <c r="S68" s="794">
        <f t="shared" si="1015" ref="S68">S67*S$4/1000</f>
        <v>0.12</v>
      </c>
      <c r="T68" s="794">
        <f t="shared" si="1016" ref="T68">T67*T$4/1000</f>
        <v>3.29</v>
      </c>
      <c r="U68" s="794">
        <f t="shared" si="1017" ref="U68">U67*U$4/1000</f>
        <v>3.4079999999999999</v>
      </c>
      <c r="V68" s="794">
        <f t="shared" si="1018" ref="V68">V67*V$4/1000</f>
        <v>0.93600000000000005</v>
      </c>
      <c r="W68" s="794">
        <f t="shared" si="1019" ref="W68">W67*W$4/1000</f>
        <v>1.425</v>
      </c>
      <c r="X68" s="794">
        <f t="shared" si="1020" ref="X68">X67*X$4/1000</f>
        <v>2.7200000000000002</v>
      </c>
      <c r="Y68" s="794">
        <f t="shared" si="1021" ref="Y68">Y67*Y$4/1000</f>
        <v>2.1389999999999998</v>
      </c>
      <c r="Z68" s="794">
        <f t="shared" si="1022" ref="Z68">Z67*Z$4/1000</f>
        <v>0.188</v>
      </c>
      <c r="AA68" s="794">
        <f t="shared" si="1023" ref="AA68">AA67*AA$4/1000</f>
        <v>0.71399999999999997</v>
      </c>
      <c r="AB68" s="794">
        <f t="shared" si="1024" ref="AB68">AB67*AB$4/1000</f>
        <v>0</v>
      </c>
      <c r="AC68" s="794">
        <f t="shared" si="1025" ref="AC68">AC67*AC$4/1000</f>
        <v>0.45000000000000001</v>
      </c>
      <c r="AD68" s="794">
        <f t="shared" si="1026" ref="AD68">AD67*AD$4/1000</f>
        <v>0</v>
      </c>
      <c r="AE68" s="794">
        <f t="shared" si="1027" ref="AE68">AE67*AE$4/1000</f>
        <v>0.16400000000000001</v>
      </c>
      <c r="AF68" s="790"/>
      <c r="AG68" s="794">
        <f t="shared" si="1028" ref="AG68">AG67*AG$4/1000</f>
        <v>3.2999999999999998</v>
      </c>
      <c r="AH68" s="794">
        <f t="shared" si="1029" ref="AH68">AH67*AH$4/1000</f>
        <v>2.7000000000000002</v>
      </c>
      <c r="AI68" s="794">
        <f t="shared" si="1030" ref="AI68">AI67*AI$4/1000</f>
        <v>1.52</v>
      </c>
      <c r="AJ68" s="794">
        <f t="shared" si="1031" ref="AJ68">AJ67*AJ$4/1000</f>
        <v>14.404999999999999</v>
      </c>
      <c r="AK68" s="794">
        <f t="shared" si="1032" ref="AK68">AK67*AK$4/1000</f>
        <v>0</v>
      </c>
      <c r="AL68" s="794">
        <f t="shared" si="1033" ref="AL68">AL67*AL$4/1000</f>
        <v>0</v>
      </c>
      <c r="AM68" s="794">
        <f t="shared" si="1034" ref="AM68">AM67*AM$4/1000</f>
        <v>0</v>
      </c>
    </row>
    <row r="69" spans="1:42" ht="14.5">
      <c r="A69" s="918">
        <v>42856</v>
      </c>
      <c r="B69" s="788"/>
      <c r="C69" s="789">
        <f t="shared" si="3"/>
        <v>4595</v>
      </c>
      <c r="D69" s="789">
        <v>4687</v>
      </c>
      <c r="E69" s="789">
        <v>455</v>
      </c>
      <c r="F69" s="789">
        <f>2434</f>
        <v>2434</v>
      </c>
      <c r="G69" s="789">
        <v>260</v>
      </c>
      <c r="H69" s="789">
        <v>52</v>
      </c>
      <c r="I69" s="789">
        <f>402-84</f>
        <v>318</v>
      </c>
      <c r="J69" s="789">
        <f>125-8</f>
        <v>117</v>
      </c>
      <c r="K69" s="789">
        <v>110</v>
      </c>
      <c r="L69" s="789">
        <v>123</v>
      </c>
      <c r="M69" s="789">
        <v>288</v>
      </c>
      <c r="N69" s="790"/>
      <c r="O69" s="789">
        <v>29</v>
      </c>
      <c r="P69" s="789">
        <v>14</v>
      </c>
      <c r="Q69" s="789">
        <v>18</v>
      </c>
      <c r="R69" s="789">
        <v>3</v>
      </c>
      <c r="S69" s="789">
        <v>2</v>
      </c>
      <c r="T69" s="789">
        <v>47</v>
      </c>
      <c r="U69" s="789">
        <v>48</v>
      </c>
      <c r="V69" s="789">
        <v>13</v>
      </c>
      <c r="W69" s="789">
        <v>19</v>
      </c>
      <c r="X69" s="789">
        <v>34</v>
      </c>
      <c r="Y69" s="789">
        <v>23</v>
      </c>
      <c r="Z69" s="789">
        <v>2</v>
      </c>
      <c r="AA69" s="789">
        <v>7</v>
      </c>
      <c r="AB69" s="789"/>
      <c r="AC69" s="789">
        <v>3</v>
      </c>
      <c r="AD69" s="789"/>
      <c r="AE69" s="789">
        <v>1</v>
      </c>
      <c r="AF69" s="790"/>
      <c r="AG69" s="791">
        <v>33</v>
      </c>
      <c r="AH69" s="791">
        <v>20</v>
      </c>
      <c r="AI69" s="791">
        <v>39</v>
      </c>
      <c r="AJ69" s="791">
        <v>83</v>
      </c>
      <c r="AK69" s="791">
        <v>0</v>
      </c>
      <c r="AL69" s="791">
        <v>0</v>
      </c>
      <c r="AO69">
        <f t="shared" si="1035" ref="AO69:AO109">SUM(AG69:AL69)</f>
        <v>175</v>
      </c>
      <c r="AP69">
        <f t="shared" si="1036" ref="AP69:AP105">AO69-AO71</f>
        <v>-22</v>
      </c>
    </row>
    <row r="70" spans="1:39" ht="14.5">
      <c r="A70" s="919"/>
      <c r="B70" s="793"/>
      <c r="C70" s="794">
        <f t="shared" si="1037" ref="C70:C110">SUM(E70:AL70)</f>
        <v>259.95099999999996</v>
      </c>
      <c r="D70" s="794">
        <v>266.59899999999993</v>
      </c>
      <c r="E70" s="794">
        <f>E69*E$4/1000</f>
        <v>11.375</v>
      </c>
      <c r="F70" s="794">
        <f t="shared" si="1038" ref="F70">F69*F$4/1000</f>
        <v>87.623999999999995</v>
      </c>
      <c r="G70" s="794">
        <f t="shared" si="1039" ref="G70">G69*G$4/1000</f>
        <v>13.26</v>
      </c>
      <c r="H70" s="794">
        <f t="shared" si="1040" ref="H70">H69*H$4/1000</f>
        <v>2.7040000000000002</v>
      </c>
      <c r="I70" s="794">
        <f t="shared" si="1041" ref="I70">I69*I$4/1000</f>
        <v>22.896000000000001</v>
      </c>
      <c r="J70" s="794">
        <f t="shared" si="1042" ref="J70">J69*J$4/1000</f>
        <v>8.7750000000000004</v>
      </c>
      <c r="K70" s="794">
        <f t="shared" si="1043" ref="K70">K69*K$4/1000</f>
        <v>10.119999999999999</v>
      </c>
      <c r="L70" s="794">
        <f t="shared" si="1044" ref="L70">L69*L$4/1000</f>
        <v>12.669000000000001</v>
      </c>
      <c r="M70" s="794">
        <f t="shared" si="1045" ref="M70">M69*M$4/1000</f>
        <v>41.183999999999998</v>
      </c>
      <c r="N70" s="794">
        <f t="shared" si="1046" ref="N70">N69*N$4/1000</f>
        <v>0</v>
      </c>
      <c r="O70" s="794">
        <f t="shared" si="1047" ref="O70">O69*O$4/1000</f>
        <v>0.87</v>
      </c>
      <c r="P70" s="794">
        <f t="shared" si="1048" ref="P70">P69*P$4/1000</f>
        <v>0.58799999999999997</v>
      </c>
      <c r="Q70" s="794">
        <f t="shared" si="1049" ref="Q70">Q69*Q$4/1000</f>
        <v>0.91800000000000004</v>
      </c>
      <c r="R70" s="794">
        <f t="shared" si="1050" ref="R70">R69*R$4/1000</f>
        <v>0.159</v>
      </c>
      <c r="S70" s="794">
        <f t="shared" si="1051" ref="S70">S69*S$4/1000</f>
        <v>0.12</v>
      </c>
      <c r="T70" s="794">
        <f t="shared" si="1052" ref="T70">T69*T$4/1000</f>
        <v>3.29</v>
      </c>
      <c r="U70" s="794">
        <f t="shared" si="1053" ref="U70">U69*U$4/1000</f>
        <v>3.4079999999999999</v>
      </c>
      <c r="V70" s="794">
        <f t="shared" si="1054" ref="V70">V69*V$4/1000</f>
        <v>0.93600000000000005</v>
      </c>
      <c r="W70" s="794">
        <f t="shared" si="1055" ref="W70">W69*W$4/1000</f>
        <v>1.425</v>
      </c>
      <c r="X70" s="794">
        <f t="shared" si="1056" ref="X70">X69*X$4/1000</f>
        <v>2.7200000000000002</v>
      </c>
      <c r="Y70" s="794">
        <f t="shared" si="1057" ref="Y70">Y69*Y$4/1000</f>
        <v>2.1389999999999998</v>
      </c>
      <c r="Z70" s="794">
        <f t="shared" si="1058" ref="Z70">Z69*Z$4/1000</f>
        <v>0.188</v>
      </c>
      <c r="AA70" s="794">
        <f t="shared" si="1059" ref="AA70">AA69*AA$4/1000</f>
        <v>0.71399999999999997</v>
      </c>
      <c r="AB70" s="794">
        <f t="shared" si="1060" ref="AB70">AB69*AB$4/1000</f>
        <v>0</v>
      </c>
      <c r="AC70" s="794">
        <f t="shared" si="1061" ref="AC70">AC69*AC$4/1000</f>
        <v>0.45000000000000001</v>
      </c>
      <c r="AD70" s="794">
        <f t="shared" si="1062" ref="AD70">AD69*AD$4/1000</f>
        <v>0</v>
      </c>
      <c r="AE70" s="794">
        <f t="shared" si="1063" ref="AE70">AE69*AE$4/1000</f>
        <v>0.16400000000000001</v>
      </c>
      <c r="AF70" s="790"/>
      <c r="AG70" s="794">
        <f t="shared" si="1064" ref="AG70">AG69*AG$4/1000</f>
        <v>3.2999999999999998</v>
      </c>
      <c r="AH70" s="794">
        <f t="shared" si="1065" ref="AH70">AH69*AH$4/1000</f>
        <v>2.7000000000000002</v>
      </c>
      <c r="AI70" s="794">
        <f t="shared" si="1066" ref="AI70">AI69*AI$4/1000</f>
        <v>7.4100000000000001</v>
      </c>
      <c r="AJ70" s="794">
        <f t="shared" si="1067" ref="AJ70">AJ69*AJ$4/1000</f>
        <v>17.844999999999999</v>
      </c>
      <c r="AK70" s="794">
        <f t="shared" si="1068" ref="AK70">AK69*AK$4/1000</f>
        <v>0</v>
      </c>
      <c r="AL70" s="794">
        <f t="shared" si="1069" ref="AL70">AL69*AL$4/1000</f>
        <v>0</v>
      </c>
      <c r="AM70" s="794">
        <f t="shared" si="1070" ref="AM70">AM69*AM$4/1000</f>
        <v>0</v>
      </c>
    </row>
    <row r="71" spans="1:42" ht="14.5">
      <c r="A71" s="918">
        <v>42826</v>
      </c>
      <c r="B71" s="788"/>
      <c r="C71" s="789">
        <f t="shared" si="1037"/>
        <v>4595</v>
      </c>
      <c r="D71" s="789">
        <v>4678</v>
      </c>
      <c r="E71" s="789">
        <v>455</v>
      </c>
      <c r="F71" s="789">
        <v>2427</v>
      </c>
      <c r="G71" s="789">
        <v>260</v>
      </c>
      <c r="H71" s="789">
        <v>51</v>
      </c>
      <c r="I71" s="789">
        <f>397-83</f>
        <v>314</v>
      </c>
      <c r="J71" s="789">
        <v>107</v>
      </c>
      <c r="K71" s="789">
        <v>110</v>
      </c>
      <c r="L71" s="789">
        <v>123</v>
      </c>
      <c r="M71" s="789">
        <v>288</v>
      </c>
      <c r="N71" s="790"/>
      <c r="O71" s="789">
        <v>29</v>
      </c>
      <c r="P71" s="789">
        <v>14</v>
      </c>
      <c r="Q71" s="789">
        <v>18</v>
      </c>
      <c r="R71" s="789">
        <v>3</v>
      </c>
      <c r="S71" s="789">
        <v>2</v>
      </c>
      <c r="T71" s="789">
        <v>47</v>
      </c>
      <c r="U71" s="789">
        <v>48</v>
      </c>
      <c r="V71" s="789">
        <v>13</v>
      </c>
      <c r="W71" s="789">
        <v>19</v>
      </c>
      <c r="X71" s="789">
        <v>34</v>
      </c>
      <c r="Y71" s="789">
        <v>23</v>
      </c>
      <c r="Z71" s="789">
        <v>2</v>
      </c>
      <c r="AA71" s="789">
        <v>7</v>
      </c>
      <c r="AB71" s="789"/>
      <c r="AC71" s="789">
        <v>3</v>
      </c>
      <c r="AD71" s="789"/>
      <c r="AE71" s="789">
        <v>1</v>
      </c>
      <c r="AF71" s="790"/>
      <c r="AG71" s="791">
        <v>36</v>
      </c>
      <c r="AH71" s="791">
        <v>22</v>
      </c>
      <c r="AI71" s="791">
        <v>39</v>
      </c>
      <c r="AJ71" s="791">
        <v>100</v>
      </c>
      <c r="AK71" s="791">
        <v>0</v>
      </c>
      <c r="AL71" s="791">
        <v>0</v>
      </c>
      <c r="AO71">
        <f t="shared" si="1035"/>
        <v>197</v>
      </c>
      <c r="AP71">
        <f>AO71-AO73</f>
        <v>0</v>
      </c>
    </row>
    <row r="72" spans="1:39" ht="14.5">
      <c r="A72" s="919"/>
      <c r="B72" s="793"/>
      <c r="C72" s="794">
        <f t="shared" si="1037"/>
        <v>262.83399999999995</v>
      </c>
      <c r="D72" s="794">
        <v>268.80999999999995</v>
      </c>
      <c r="E72" s="794">
        <f>E71*E$4/1000</f>
        <v>11.375</v>
      </c>
      <c r="F72" s="794">
        <f t="shared" si="1071" ref="F72">F71*F$4/1000</f>
        <v>87.372</v>
      </c>
      <c r="G72" s="794">
        <f t="shared" si="1072" ref="G72">G71*G$4/1000</f>
        <v>13.26</v>
      </c>
      <c r="H72" s="794">
        <f t="shared" si="1073" ref="H72">H71*H$4/1000</f>
        <v>2.6520000000000001</v>
      </c>
      <c r="I72" s="794">
        <f t="shared" si="1074" ref="I72">I71*I$4/1000</f>
        <v>22.608000000000001</v>
      </c>
      <c r="J72" s="794">
        <f t="shared" si="1075" ref="J72">J71*J$4/1000</f>
        <v>8.0250000000000004</v>
      </c>
      <c r="K72" s="794">
        <f t="shared" si="1076" ref="K72">K71*K$4/1000</f>
        <v>10.119999999999999</v>
      </c>
      <c r="L72" s="794">
        <f t="shared" si="1077" ref="L72">L71*L$4/1000</f>
        <v>12.669000000000001</v>
      </c>
      <c r="M72" s="794">
        <f t="shared" si="1078" ref="M72">M71*M$4/1000</f>
        <v>41.183999999999998</v>
      </c>
      <c r="N72" s="794">
        <f t="shared" si="1079" ref="N72">N71*N$4/1000</f>
        <v>0</v>
      </c>
      <c r="O72" s="794">
        <f t="shared" si="1080" ref="O72">O71*O$4/1000</f>
        <v>0.87</v>
      </c>
      <c r="P72" s="794">
        <f t="shared" si="1081" ref="P72">P71*P$4/1000</f>
        <v>0.58799999999999997</v>
      </c>
      <c r="Q72" s="794">
        <f t="shared" si="1082" ref="Q72">Q71*Q$4/1000</f>
        <v>0.91800000000000004</v>
      </c>
      <c r="R72" s="794">
        <f t="shared" si="1083" ref="R72">R71*R$4/1000</f>
        <v>0.159</v>
      </c>
      <c r="S72" s="794">
        <f t="shared" si="1084" ref="S72">S71*S$4/1000</f>
        <v>0.12</v>
      </c>
      <c r="T72" s="794">
        <f t="shared" si="1085" ref="T72">T71*T$4/1000</f>
        <v>3.29</v>
      </c>
      <c r="U72" s="794">
        <f t="shared" si="1086" ref="U72">U71*U$4/1000</f>
        <v>3.4079999999999999</v>
      </c>
      <c r="V72" s="794">
        <f t="shared" si="1087" ref="V72">V71*V$4/1000</f>
        <v>0.93600000000000005</v>
      </c>
      <c r="W72" s="794">
        <f t="shared" si="1088" ref="W72">W71*W$4/1000</f>
        <v>1.425</v>
      </c>
      <c r="X72" s="794">
        <f t="shared" si="1089" ref="X72">X71*X$4/1000</f>
        <v>2.7200000000000002</v>
      </c>
      <c r="Y72" s="794">
        <f t="shared" si="1090" ref="Y72">Y71*Y$4/1000</f>
        <v>2.1389999999999998</v>
      </c>
      <c r="Z72" s="794">
        <f t="shared" si="1091" ref="Z72">Z71*Z$4/1000</f>
        <v>0.188</v>
      </c>
      <c r="AA72" s="794">
        <f t="shared" si="1092" ref="AA72">AA71*AA$4/1000</f>
        <v>0.71399999999999997</v>
      </c>
      <c r="AB72" s="794">
        <f t="shared" si="1093" ref="AB72">AB71*AB$4/1000</f>
        <v>0</v>
      </c>
      <c r="AC72" s="794">
        <f t="shared" si="1094" ref="AC72">AC71*AC$4/1000</f>
        <v>0.45000000000000001</v>
      </c>
      <c r="AD72" s="794">
        <f t="shared" si="1095" ref="AD72">AD71*AD$4/1000</f>
        <v>0</v>
      </c>
      <c r="AE72" s="794">
        <f t="shared" si="1096" ref="AE72">AE71*AE$4/1000</f>
        <v>0.16400000000000001</v>
      </c>
      <c r="AF72" s="790"/>
      <c r="AG72" s="794">
        <f t="shared" si="1097" ref="AG72">AG71*AG$4/1000</f>
        <v>3.6000000000000001</v>
      </c>
      <c r="AH72" s="794">
        <f t="shared" si="1098" ref="AH72">AH71*AH$4/1000</f>
        <v>2.9700000000000002</v>
      </c>
      <c r="AI72" s="794">
        <f t="shared" si="1099" ref="AI72">AI71*AI$4/1000</f>
        <v>7.4100000000000001</v>
      </c>
      <c r="AJ72" s="794">
        <f t="shared" si="1100" ref="AJ72">AJ71*AJ$4/1000</f>
        <v>21.5</v>
      </c>
      <c r="AK72" s="794">
        <f t="shared" si="1101" ref="AK72">AK71*AK$4/1000</f>
        <v>0</v>
      </c>
      <c r="AL72" s="794">
        <f t="shared" si="1102" ref="AL72">AL71*AL$4/1000</f>
        <v>0</v>
      </c>
      <c r="AM72" s="794">
        <f t="shared" si="1103" ref="AM72">AM71*AM$4/1000</f>
        <v>0</v>
      </c>
    </row>
    <row r="73" spans="1:42" ht="14.5">
      <c r="A73" s="918">
        <v>42795</v>
      </c>
      <c r="B73" s="788"/>
      <c r="C73" s="789">
        <f t="shared" si="1037"/>
        <v>4595</v>
      </c>
      <c r="D73" s="789">
        <v>4678</v>
      </c>
      <c r="E73" s="789">
        <v>455</v>
      </c>
      <c r="F73" s="789">
        <v>2427</v>
      </c>
      <c r="G73" s="789">
        <v>260</v>
      </c>
      <c r="H73" s="789">
        <v>51</v>
      </c>
      <c r="I73" s="789">
        <f>397-83</f>
        <v>314</v>
      </c>
      <c r="J73" s="789">
        <v>107</v>
      </c>
      <c r="K73" s="789">
        <v>110</v>
      </c>
      <c r="L73" s="789">
        <v>123</v>
      </c>
      <c r="M73" s="789">
        <v>288</v>
      </c>
      <c r="N73" s="790"/>
      <c r="O73" s="789">
        <v>29</v>
      </c>
      <c r="P73" s="789">
        <v>14</v>
      </c>
      <c r="Q73" s="789">
        <v>18</v>
      </c>
      <c r="R73" s="789">
        <v>3</v>
      </c>
      <c r="S73" s="789">
        <v>2</v>
      </c>
      <c r="T73" s="789">
        <v>47</v>
      </c>
      <c r="U73" s="789">
        <v>48</v>
      </c>
      <c r="V73" s="789">
        <v>13</v>
      </c>
      <c r="W73" s="789">
        <v>19</v>
      </c>
      <c r="X73" s="789">
        <v>34</v>
      </c>
      <c r="Y73" s="789">
        <v>23</v>
      </c>
      <c r="Z73" s="789">
        <v>2</v>
      </c>
      <c r="AA73" s="789">
        <v>7</v>
      </c>
      <c r="AB73" s="789"/>
      <c r="AC73" s="789">
        <v>3</v>
      </c>
      <c r="AD73" s="789"/>
      <c r="AE73" s="789">
        <v>1</v>
      </c>
      <c r="AF73" s="790"/>
      <c r="AG73" s="791">
        <v>36</v>
      </c>
      <c r="AH73" s="791">
        <v>22</v>
      </c>
      <c r="AI73" s="791">
        <v>39</v>
      </c>
      <c r="AJ73" s="791">
        <v>100</v>
      </c>
      <c r="AK73" s="791">
        <v>0</v>
      </c>
      <c r="AL73" s="791">
        <v>0</v>
      </c>
      <c r="AO73">
        <f t="shared" si="1035"/>
        <v>197</v>
      </c>
      <c r="AP73">
        <f t="shared" si="1036"/>
        <v>-35</v>
      </c>
    </row>
    <row r="74" spans="1:39" ht="14.5">
      <c r="A74" s="919"/>
      <c r="B74" s="793"/>
      <c r="C74" s="794">
        <f t="shared" si="1037"/>
        <v>262.83399999999995</v>
      </c>
      <c r="D74" s="794">
        <v>268.80999999999995</v>
      </c>
      <c r="E74" s="794">
        <f>E73*E$4/1000</f>
        <v>11.375</v>
      </c>
      <c r="F74" s="794">
        <f t="shared" si="1104" ref="F74">F73*F$4/1000</f>
        <v>87.372</v>
      </c>
      <c r="G74" s="794">
        <f t="shared" si="1105" ref="G74">G73*G$4/1000</f>
        <v>13.26</v>
      </c>
      <c r="H74" s="794">
        <f t="shared" si="1106" ref="H74">H73*H$4/1000</f>
        <v>2.6520000000000001</v>
      </c>
      <c r="I74" s="794">
        <f t="shared" si="1107" ref="I74">I73*I$4/1000</f>
        <v>22.608000000000001</v>
      </c>
      <c r="J74" s="794">
        <f t="shared" si="1108" ref="J74">J73*J$4/1000</f>
        <v>8.0250000000000004</v>
      </c>
      <c r="K74" s="794">
        <f t="shared" si="1109" ref="K74">K73*K$4/1000</f>
        <v>10.119999999999999</v>
      </c>
      <c r="L74" s="794">
        <f t="shared" si="1110" ref="L74">L73*L$4/1000</f>
        <v>12.669000000000001</v>
      </c>
      <c r="M74" s="794">
        <f t="shared" si="1111" ref="M74">M73*M$4/1000</f>
        <v>41.183999999999998</v>
      </c>
      <c r="N74" s="794">
        <f t="shared" si="1112" ref="N74">N73*N$4/1000</f>
        <v>0</v>
      </c>
      <c r="O74" s="794">
        <f t="shared" si="1113" ref="O74">O73*O$4/1000</f>
        <v>0.87</v>
      </c>
      <c r="P74" s="794">
        <f t="shared" si="1114" ref="P74">P73*P$4/1000</f>
        <v>0.58799999999999997</v>
      </c>
      <c r="Q74" s="794">
        <f t="shared" si="1115" ref="Q74">Q73*Q$4/1000</f>
        <v>0.91800000000000004</v>
      </c>
      <c r="R74" s="794">
        <f t="shared" si="1116" ref="R74">R73*R$4/1000</f>
        <v>0.159</v>
      </c>
      <c r="S74" s="794">
        <f t="shared" si="1117" ref="S74">S73*S$4/1000</f>
        <v>0.12</v>
      </c>
      <c r="T74" s="794">
        <f t="shared" si="1118" ref="T74">T73*T$4/1000</f>
        <v>3.29</v>
      </c>
      <c r="U74" s="794">
        <f t="shared" si="1119" ref="U74">U73*U$4/1000</f>
        <v>3.4079999999999999</v>
      </c>
      <c r="V74" s="794">
        <f t="shared" si="1120" ref="V74">V73*V$4/1000</f>
        <v>0.93600000000000005</v>
      </c>
      <c r="W74" s="794">
        <f t="shared" si="1121" ref="W74">W73*W$4/1000</f>
        <v>1.425</v>
      </c>
      <c r="X74" s="794">
        <f t="shared" si="1122" ref="X74">X73*X$4/1000</f>
        <v>2.7200000000000002</v>
      </c>
      <c r="Y74" s="794">
        <f t="shared" si="1123" ref="Y74">Y73*Y$4/1000</f>
        <v>2.1389999999999998</v>
      </c>
      <c r="Z74" s="794">
        <f t="shared" si="1124" ref="Z74">Z73*Z$4/1000</f>
        <v>0.188</v>
      </c>
      <c r="AA74" s="794">
        <f t="shared" si="1125" ref="AA74">AA73*AA$4/1000</f>
        <v>0.71399999999999997</v>
      </c>
      <c r="AB74" s="794">
        <f t="shared" si="1126" ref="AB74">AB73*AB$4/1000</f>
        <v>0</v>
      </c>
      <c r="AC74" s="794">
        <f t="shared" si="1127" ref="AC74">AC73*AC$4/1000</f>
        <v>0.45000000000000001</v>
      </c>
      <c r="AD74" s="794">
        <f t="shared" si="1128" ref="AD74">AD73*AD$4/1000</f>
        <v>0</v>
      </c>
      <c r="AE74" s="794">
        <f t="shared" si="1129" ref="AE74">AE73*AE$4/1000</f>
        <v>0.16400000000000001</v>
      </c>
      <c r="AF74" s="790"/>
      <c r="AG74" s="794">
        <f t="shared" si="1130" ref="AG74">AG73*AG$4/1000</f>
        <v>3.6000000000000001</v>
      </c>
      <c r="AH74" s="794">
        <f t="shared" si="1131" ref="AH74">AH73*AH$4/1000</f>
        <v>2.9700000000000002</v>
      </c>
      <c r="AI74" s="794">
        <f t="shared" si="1132" ref="AI74">AI73*AI$4/1000</f>
        <v>7.4100000000000001</v>
      </c>
      <c r="AJ74" s="794">
        <f t="shared" si="1133" ref="AJ74">AJ73*AJ$4/1000</f>
        <v>21.5</v>
      </c>
      <c r="AK74" s="794">
        <f t="shared" si="1134" ref="AK74">AK73*AK$4/1000</f>
        <v>0</v>
      </c>
      <c r="AL74" s="794">
        <f t="shared" si="1135" ref="AL74">AL73*AL$4/1000</f>
        <v>0</v>
      </c>
      <c r="AM74" s="794">
        <f t="shared" si="1136" ref="AM74">AM73*AM$4/1000</f>
        <v>0</v>
      </c>
    </row>
    <row r="75" spans="1:42" ht="14.5">
      <c r="A75" s="918">
        <v>42767</v>
      </c>
      <c r="B75" s="788"/>
      <c r="C75" s="789">
        <f t="shared" si="1037"/>
        <v>4595</v>
      </c>
      <c r="D75" s="789">
        <v>4678</v>
      </c>
      <c r="E75" s="789">
        <v>455</v>
      </c>
      <c r="F75" s="789">
        <v>2396</v>
      </c>
      <c r="G75" s="789">
        <v>260</v>
      </c>
      <c r="H75" s="789">
        <v>51</v>
      </c>
      <c r="I75" s="789">
        <f>397-84</f>
        <v>313</v>
      </c>
      <c r="J75" s="789">
        <v>104</v>
      </c>
      <c r="K75" s="789">
        <v>110</v>
      </c>
      <c r="L75" s="789">
        <v>123</v>
      </c>
      <c r="M75" s="789">
        <v>288</v>
      </c>
      <c r="N75" s="790"/>
      <c r="O75" s="789">
        <v>29</v>
      </c>
      <c r="P75" s="789">
        <v>14</v>
      </c>
      <c r="Q75" s="789">
        <v>18</v>
      </c>
      <c r="R75" s="789">
        <v>3</v>
      </c>
      <c r="S75" s="789">
        <v>2</v>
      </c>
      <c r="T75" s="789">
        <v>47</v>
      </c>
      <c r="U75" s="789">
        <v>48</v>
      </c>
      <c r="V75" s="789">
        <v>13</v>
      </c>
      <c r="W75" s="789">
        <v>19</v>
      </c>
      <c r="X75" s="789">
        <v>34</v>
      </c>
      <c r="Y75" s="789">
        <v>23</v>
      </c>
      <c r="Z75" s="789">
        <v>2</v>
      </c>
      <c r="AA75" s="789">
        <v>7</v>
      </c>
      <c r="AB75" s="789"/>
      <c r="AC75" s="789">
        <v>3</v>
      </c>
      <c r="AD75" s="789"/>
      <c r="AE75" s="789">
        <v>1</v>
      </c>
      <c r="AF75" s="790"/>
      <c r="AG75" s="791">
        <v>67</v>
      </c>
      <c r="AH75" s="791">
        <v>22</v>
      </c>
      <c r="AI75" s="791">
        <v>43</v>
      </c>
      <c r="AJ75" s="791">
        <v>100</v>
      </c>
      <c r="AK75" s="791">
        <v>0</v>
      </c>
      <c r="AL75" s="791">
        <v>0</v>
      </c>
      <c r="AO75">
        <f t="shared" si="1035"/>
        <v>232</v>
      </c>
      <c r="AP75">
        <f t="shared" si="1036"/>
        <v>0</v>
      </c>
    </row>
    <row r="76" spans="1:39" ht="14.5">
      <c r="A76" s="919"/>
      <c r="B76" s="793"/>
      <c r="C76" s="794">
        <f t="shared" si="1037"/>
        <v>265.28099999999995</v>
      </c>
      <c r="D76" s="794">
        <v>271.13900000000001</v>
      </c>
      <c r="E76" s="794">
        <f>E75*E$4/1000</f>
        <v>11.375</v>
      </c>
      <c r="F76" s="794">
        <f t="shared" si="1137" ref="F76">F75*F$4/1000</f>
        <v>86.256</v>
      </c>
      <c r="G76" s="794">
        <f t="shared" si="1138" ref="G76">G75*G$4/1000</f>
        <v>13.26</v>
      </c>
      <c r="H76" s="794">
        <f t="shared" si="1139" ref="H76">H75*H$4/1000</f>
        <v>2.6520000000000001</v>
      </c>
      <c r="I76" s="794">
        <f t="shared" si="1140" ref="I76">I75*I$4/1000</f>
        <v>22.536000000000001</v>
      </c>
      <c r="J76" s="794">
        <f t="shared" si="1141" ref="J76">J75*J$4/1000</f>
        <v>7.7999999999999998</v>
      </c>
      <c r="K76" s="794">
        <f t="shared" si="1142" ref="K76">K75*K$4/1000</f>
        <v>10.119999999999999</v>
      </c>
      <c r="L76" s="794">
        <f t="shared" si="1143" ref="L76">L75*L$4/1000</f>
        <v>12.669000000000001</v>
      </c>
      <c r="M76" s="794">
        <f t="shared" si="1144" ref="M76">M75*M$4/1000</f>
        <v>41.183999999999998</v>
      </c>
      <c r="N76" s="794">
        <f t="shared" si="1145" ref="N76">N75*N$4/1000</f>
        <v>0</v>
      </c>
      <c r="O76" s="794">
        <f t="shared" si="1146" ref="O76">O75*O$4/1000</f>
        <v>0.87</v>
      </c>
      <c r="P76" s="794">
        <f t="shared" si="1147" ref="P76">P75*P$4/1000</f>
        <v>0.58799999999999997</v>
      </c>
      <c r="Q76" s="794">
        <f t="shared" si="1148" ref="Q76">Q75*Q$4/1000</f>
        <v>0.91800000000000004</v>
      </c>
      <c r="R76" s="794">
        <f t="shared" si="1149" ref="R76">R75*R$4/1000</f>
        <v>0.159</v>
      </c>
      <c r="S76" s="794">
        <f t="shared" si="1150" ref="S76">S75*S$4/1000</f>
        <v>0.12</v>
      </c>
      <c r="T76" s="794">
        <f t="shared" si="1151" ref="T76">T75*T$4/1000</f>
        <v>3.29</v>
      </c>
      <c r="U76" s="794">
        <f t="shared" si="1152" ref="U76">U75*U$4/1000</f>
        <v>3.4079999999999999</v>
      </c>
      <c r="V76" s="794">
        <f t="shared" si="1153" ref="V76">V75*V$4/1000</f>
        <v>0.93600000000000005</v>
      </c>
      <c r="W76" s="794">
        <f t="shared" si="1154" ref="W76">W75*W$4/1000</f>
        <v>1.425</v>
      </c>
      <c r="X76" s="794">
        <f t="shared" si="1155" ref="X76">X75*X$4/1000</f>
        <v>2.7200000000000002</v>
      </c>
      <c r="Y76" s="794">
        <f t="shared" si="1156" ref="Y76">Y75*Y$4/1000</f>
        <v>2.1389999999999998</v>
      </c>
      <c r="Z76" s="794">
        <f t="shared" si="1157" ref="Z76">Z75*Z$4/1000</f>
        <v>0.188</v>
      </c>
      <c r="AA76" s="794">
        <f t="shared" si="1158" ref="AA76">AA75*AA$4/1000</f>
        <v>0.71399999999999997</v>
      </c>
      <c r="AB76" s="794">
        <f t="shared" si="1159" ref="AB76">AB75*AB$4/1000</f>
        <v>0</v>
      </c>
      <c r="AC76" s="794">
        <f t="shared" si="1160" ref="AC76">AC75*AC$4/1000</f>
        <v>0.45000000000000001</v>
      </c>
      <c r="AD76" s="794">
        <f t="shared" si="1161" ref="AD76">AD75*AD$4/1000</f>
        <v>0</v>
      </c>
      <c r="AE76" s="794">
        <f t="shared" si="1162" ref="AE76">AE75*AE$4/1000</f>
        <v>0.16400000000000001</v>
      </c>
      <c r="AF76" s="790"/>
      <c r="AG76" s="794">
        <f t="shared" si="1163" ref="AG76">AG75*AG$4/1000</f>
        <v>6.7000000000000002</v>
      </c>
      <c r="AH76" s="794">
        <f t="shared" si="1164" ref="AH76">AH75*AH$4/1000</f>
        <v>2.9700000000000002</v>
      </c>
      <c r="AI76" s="794">
        <f t="shared" si="1165" ref="AI76">AI75*AI$4/1000</f>
        <v>8.1699999999999999</v>
      </c>
      <c r="AJ76" s="794">
        <f t="shared" si="1166" ref="AJ76">AJ75*AJ$4/1000</f>
        <v>21.5</v>
      </c>
      <c r="AK76" s="794">
        <f t="shared" si="1167" ref="AK76">AK75*AK$4/1000</f>
        <v>0</v>
      </c>
      <c r="AL76" s="794">
        <f t="shared" si="1168" ref="AL76">AL75*AL$4/1000</f>
        <v>0</v>
      </c>
      <c r="AM76" s="794">
        <f t="shared" si="1169" ref="AM76">AM75*AM$4/1000</f>
        <v>0</v>
      </c>
    </row>
    <row r="77" spans="1:42" ht="14.5">
      <c r="A77" s="918">
        <v>42736</v>
      </c>
      <c r="B77" s="788"/>
      <c r="C77" s="789">
        <f>SUM(E77:AL77)</f>
        <v>4595</v>
      </c>
      <c r="D77" s="789">
        <v>4678</v>
      </c>
      <c r="E77" s="789">
        <v>455</v>
      </c>
      <c r="F77" s="789">
        <v>2396</v>
      </c>
      <c r="G77" s="789">
        <v>260</v>
      </c>
      <c r="H77" s="789">
        <v>51</v>
      </c>
      <c r="I77" s="789">
        <f>397-84</f>
        <v>313</v>
      </c>
      <c r="J77" s="789">
        <v>104</v>
      </c>
      <c r="K77" s="789">
        <v>110</v>
      </c>
      <c r="L77" s="789">
        <v>123</v>
      </c>
      <c r="M77" s="789">
        <v>288</v>
      </c>
      <c r="N77" s="790"/>
      <c r="O77" s="789">
        <v>29</v>
      </c>
      <c r="P77" s="789">
        <v>14</v>
      </c>
      <c r="Q77" s="789">
        <v>18</v>
      </c>
      <c r="R77" s="789">
        <v>3</v>
      </c>
      <c r="S77" s="789">
        <v>2</v>
      </c>
      <c r="T77" s="789">
        <v>47</v>
      </c>
      <c r="U77" s="789">
        <v>48</v>
      </c>
      <c r="V77" s="789">
        <v>13</v>
      </c>
      <c r="W77" s="789">
        <v>19</v>
      </c>
      <c r="X77" s="789">
        <v>34</v>
      </c>
      <c r="Y77" s="789">
        <v>23</v>
      </c>
      <c r="Z77" s="789">
        <v>2</v>
      </c>
      <c r="AA77" s="789">
        <v>7</v>
      </c>
      <c r="AB77" s="789"/>
      <c r="AC77" s="789">
        <v>3</v>
      </c>
      <c r="AD77" s="789"/>
      <c r="AE77" s="789">
        <v>1</v>
      </c>
      <c r="AF77" s="790"/>
      <c r="AG77" s="791">
        <v>67</v>
      </c>
      <c r="AH77" s="791">
        <v>22</v>
      </c>
      <c r="AI77" s="791">
        <v>43</v>
      </c>
      <c r="AJ77" s="791">
        <v>100</v>
      </c>
      <c r="AK77" s="791">
        <v>0</v>
      </c>
      <c r="AL77" s="791">
        <v>0</v>
      </c>
      <c r="AO77">
        <f t="shared" si="1035"/>
        <v>232</v>
      </c>
      <c r="AP77">
        <f t="shared" si="1036"/>
        <v>-21</v>
      </c>
    </row>
    <row r="78" spans="1:39" ht="14.5">
      <c r="A78" s="919"/>
      <c r="B78" s="793"/>
      <c r="C78" s="794">
        <f>SUM(E78:AL78)</f>
        <v>265.28099999999995</v>
      </c>
      <c r="D78" s="794">
        <v>271.13900000000001</v>
      </c>
      <c r="E78" s="794">
        <f>E77*E$4/1000</f>
        <v>11.375</v>
      </c>
      <c r="F78" s="794">
        <f t="shared" si="1170" ref="F78">F77*F$4/1000</f>
        <v>86.256</v>
      </c>
      <c r="G78" s="794">
        <f t="shared" si="1171" ref="G78">G77*G$4/1000</f>
        <v>13.26</v>
      </c>
      <c r="H78" s="794">
        <f t="shared" si="1172" ref="H78">H77*H$4/1000</f>
        <v>2.6520000000000001</v>
      </c>
      <c r="I78" s="794">
        <f t="shared" si="1173" ref="I78">I77*I$4/1000</f>
        <v>22.536000000000001</v>
      </c>
      <c r="J78" s="794">
        <f t="shared" si="1174" ref="J78">J77*J$4/1000</f>
        <v>7.7999999999999998</v>
      </c>
      <c r="K78" s="794">
        <f t="shared" si="1175" ref="K78">K77*K$4/1000</f>
        <v>10.119999999999999</v>
      </c>
      <c r="L78" s="794">
        <f t="shared" si="1176" ref="L78">L77*L$4/1000</f>
        <v>12.669000000000001</v>
      </c>
      <c r="M78" s="794">
        <f t="shared" si="1177" ref="M78">M77*M$4/1000</f>
        <v>41.183999999999998</v>
      </c>
      <c r="N78" s="794">
        <f t="shared" si="1178" ref="N78">N77*N$4/1000</f>
        <v>0</v>
      </c>
      <c r="O78" s="794">
        <f t="shared" si="1179" ref="O78">O77*O$4/1000</f>
        <v>0.87</v>
      </c>
      <c r="P78" s="794">
        <f t="shared" si="1180" ref="P78">P77*P$4/1000</f>
        <v>0.58799999999999997</v>
      </c>
      <c r="Q78" s="794">
        <f t="shared" si="1181" ref="Q78">Q77*Q$4/1000</f>
        <v>0.91800000000000004</v>
      </c>
      <c r="R78" s="794">
        <f t="shared" si="1182" ref="R78">R77*R$4/1000</f>
        <v>0.159</v>
      </c>
      <c r="S78" s="794">
        <f t="shared" si="1183" ref="S78">S77*S$4/1000</f>
        <v>0.12</v>
      </c>
      <c r="T78" s="794">
        <f t="shared" si="1184" ref="T78">T77*T$4/1000</f>
        <v>3.29</v>
      </c>
      <c r="U78" s="794">
        <f t="shared" si="1185" ref="U78">U77*U$4/1000</f>
        <v>3.4079999999999999</v>
      </c>
      <c r="V78" s="794">
        <f t="shared" si="1186" ref="V78">V77*V$4/1000</f>
        <v>0.93600000000000005</v>
      </c>
      <c r="W78" s="794">
        <f t="shared" si="1187" ref="W78">W77*W$4/1000</f>
        <v>1.425</v>
      </c>
      <c r="X78" s="794">
        <f t="shared" si="1188" ref="X78">X77*X$4/1000</f>
        <v>2.7200000000000002</v>
      </c>
      <c r="Y78" s="794">
        <f t="shared" si="1189" ref="Y78">Y77*Y$4/1000</f>
        <v>2.1389999999999998</v>
      </c>
      <c r="Z78" s="794">
        <f t="shared" si="1190" ref="Z78">Z77*Z$4/1000</f>
        <v>0.188</v>
      </c>
      <c r="AA78" s="794">
        <f t="shared" si="1191" ref="AA78">AA77*AA$4/1000</f>
        <v>0.71399999999999997</v>
      </c>
      <c r="AB78" s="794">
        <f t="shared" si="1192" ref="AB78">AB77*AB$4/1000</f>
        <v>0</v>
      </c>
      <c r="AC78" s="794">
        <f t="shared" si="1193" ref="AC78">AC77*AC$4/1000</f>
        <v>0.45000000000000001</v>
      </c>
      <c r="AD78" s="794">
        <f t="shared" si="1194" ref="AD78">AD77*AD$4/1000</f>
        <v>0</v>
      </c>
      <c r="AE78" s="794">
        <f t="shared" si="1195" ref="AE78">AE77*AE$4/1000</f>
        <v>0.16400000000000001</v>
      </c>
      <c r="AF78" s="790"/>
      <c r="AG78" s="794">
        <f t="shared" si="1196" ref="AG78">AG77*AG$4/1000</f>
        <v>6.7000000000000002</v>
      </c>
      <c r="AH78" s="794">
        <f t="shared" si="1197" ref="AH78">AH77*AH$4/1000</f>
        <v>2.9700000000000002</v>
      </c>
      <c r="AI78" s="794">
        <f t="shared" si="1198" ref="AI78">AI77*AI$4/1000</f>
        <v>8.1699999999999999</v>
      </c>
      <c r="AJ78" s="794">
        <f t="shared" si="1199" ref="AJ78">AJ77*AJ$4/1000</f>
        <v>21.5</v>
      </c>
      <c r="AK78" s="794">
        <f t="shared" si="1200" ref="AK78">AK77*AK$4/1000</f>
        <v>0</v>
      </c>
      <c r="AL78" s="794">
        <f t="shared" si="1201" ref="AL78">AL77*AL$4/1000</f>
        <v>0</v>
      </c>
      <c r="AM78" s="794">
        <f t="shared" si="1202" ref="AM78">AM77*AM$4/1000</f>
        <v>0</v>
      </c>
    </row>
    <row r="79" spans="1:42" ht="14.5">
      <c r="A79" s="920">
        <v>42705</v>
      </c>
      <c r="B79" s="788"/>
      <c r="C79" s="789">
        <f t="shared" si="1037"/>
        <v>4595</v>
      </c>
      <c r="D79" s="789">
        <v>4678</v>
      </c>
      <c r="E79" s="789">
        <v>450</v>
      </c>
      <c r="F79" s="789">
        <v>2396</v>
      </c>
      <c r="G79" s="789">
        <v>260</v>
      </c>
      <c r="H79" s="789">
        <v>51</v>
      </c>
      <c r="I79" s="789">
        <f>397-84</f>
        <v>313</v>
      </c>
      <c r="J79" s="789">
        <v>88</v>
      </c>
      <c r="K79" s="789">
        <v>110</v>
      </c>
      <c r="L79" s="789">
        <v>123</v>
      </c>
      <c r="M79" s="789">
        <v>288</v>
      </c>
      <c r="N79" s="790"/>
      <c r="O79" s="789">
        <v>29</v>
      </c>
      <c r="P79" s="789">
        <v>14</v>
      </c>
      <c r="Q79" s="789">
        <v>18</v>
      </c>
      <c r="R79" s="789">
        <v>3</v>
      </c>
      <c r="S79" s="789">
        <v>2</v>
      </c>
      <c r="T79" s="789">
        <v>47</v>
      </c>
      <c r="U79" s="789">
        <v>48</v>
      </c>
      <c r="V79" s="789">
        <v>13</v>
      </c>
      <c r="W79" s="789">
        <v>19</v>
      </c>
      <c r="X79" s="789">
        <v>34</v>
      </c>
      <c r="Y79" s="789">
        <v>23</v>
      </c>
      <c r="Z79" s="789">
        <v>2</v>
      </c>
      <c r="AA79" s="789">
        <v>7</v>
      </c>
      <c r="AB79" s="789"/>
      <c r="AC79" s="789">
        <v>3</v>
      </c>
      <c r="AD79" s="789"/>
      <c r="AE79" s="789">
        <v>1</v>
      </c>
      <c r="AF79" s="790"/>
      <c r="AG79" s="791">
        <v>67</v>
      </c>
      <c r="AH79" s="791">
        <v>27</v>
      </c>
      <c r="AI79" s="791">
        <v>59</v>
      </c>
      <c r="AJ79" s="791">
        <v>100</v>
      </c>
      <c r="AK79" s="791">
        <v>0</v>
      </c>
      <c r="AL79" s="791">
        <v>0</v>
      </c>
      <c r="AO79">
        <f t="shared" si="1035"/>
        <v>253</v>
      </c>
      <c r="AP79">
        <f t="shared" si="1036"/>
        <v>-28</v>
      </c>
    </row>
    <row r="80" spans="1:39" ht="14.5">
      <c r="A80" s="920"/>
      <c r="B80" s="793"/>
      <c r="C80" s="794">
        <f t="shared" si="1037"/>
        <v>267.67099999999999</v>
      </c>
      <c r="D80" s="794">
        <v>273.529</v>
      </c>
      <c r="E80" s="794">
        <f>E79*E$4/1000</f>
        <v>11.25</v>
      </c>
      <c r="F80" s="794">
        <f t="shared" si="1203" ref="F80">F79*F$4/1000</f>
        <v>86.256</v>
      </c>
      <c r="G80" s="794">
        <f t="shared" si="1204" ref="G80">G79*G$4/1000</f>
        <v>13.26</v>
      </c>
      <c r="H80" s="794">
        <f t="shared" si="1205" ref="H80">H79*H$4/1000</f>
        <v>2.6520000000000001</v>
      </c>
      <c r="I80" s="794">
        <f t="shared" si="1206" ref="I80">I79*I$4/1000</f>
        <v>22.536000000000001</v>
      </c>
      <c r="J80" s="794">
        <f t="shared" si="1207" ref="J80">J79*J$4/1000</f>
        <v>6.5999999999999996</v>
      </c>
      <c r="K80" s="794">
        <f t="shared" si="1208" ref="K80">K79*K$4/1000</f>
        <v>10.119999999999999</v>
      </c>
      <c r="L80" s="794">
        <f t="shared" si="1209" ref="L80">L79*L$4/1000</f>
        <v>12.669000000000001</v>
      </c>
      <c r="M80" s="794">
        <f t="shared" si="1210" ref="M80">M79*M$4/1000</f>
        <v>41.183999999999998</v>
      </c>
      <c r="N80" s="794">
        <f t="shared" si="1211" ref="N80">N79*N$4/1000</f>
        <v>0</v>
      </c>
      <c r="O80" s="794">
        <f t="shared" si="1212" ref="O80">O79*O$4/1000</f>
        <v>0.87</v>
      </c>
      <c r="P80" s="794">
        <f t="shared" si="1213" ref="P80">P79*P$4/1000</f>
        <v>0.58799999999999997</v>
      </c>
      <c r="Q80" s="794">
        <f t="shared" si="1214" ref="Q80">Q79*Q$4/1000</f>
        <v>0.91800000000000004</v>
      </c>
      <c r="R80" s="794">
        <f t="shared" si="1215" ref="R80">R79*R$4/1000</f>
        <v>0.159</v>
      </c>
      <c r="S80" s="794">
        <f t="shared" si="1216" ref="S80">S79*S$4/1000</f>
        <v>0.12</v>
      </c>
      <c r="T80" s="794">
        <f t="shared" si="1217" ref="T80">T79*T$4/1000</f>
        <v>3.29</v>
      </c>
      <c r="U80" s="794">
        <f t="shared" si="1218" ref="U80">U79*U$4/1000</f>
        <v>3.4079999999999999</v>
      </c>
      <c r="V80" s="794">
        <f t="shared" si="1219" ref="V80">V79*V$4/1000</f>
        <v>0.93600000000000005</v>
      </c>
      <c r="W80" s="794">
        <f t="shared" si="1220" ref="W80">W79*W$4/1000</f>
        <v>1.425</v>
      </c>
      <c r="X80" s="794">
        <f t="shared" si="1221" ref="X80">X79*X$4/1000</f>
        <v>2.7200000000000002</v>
      </c>
      <c r="Y80" s="794">
        <f t="shared" si="1222" ref="Y80">Y79*Y$4/1000</f>
        <v>2.1389999999999998</v>
      </c>
      <c r="Z80" s="794">
        <f t="shared" si="1223" ref="Z80">Z79*Z$4/1000</f>
        <v>0.188</v>
      </c>
      <c r="AA80" s="794">
        <f t="shared" si="1224" ref="AA80">AA79*AA$4/1000</f>
        <v>0.71399999999999997</v>
      </c>
      <c r="AB80" s="794">
        <f t="shared" si="1225" ref="AB80">AB79*AB$4/1000</f>
        <v>0</v>
      </c>
      <c r="AC80" s="794">
        <f t="shared" si="1226" ref="AC80">AC79*AC$4/1000</f>
        <v>0.45000000000000001</v>
      </c>
      <c r="AD80" s="794">
        <f t="shared" si="1227" ref="AD80">AD79*AD$4/1000</f>
        <v>0</v>
      </c>
      <c r="AE80" s="794">
        <f t="shared" si="1228" ref="AE80">AE79*AE$4/1000</f>
        <v>0.16400000000000001</v>
      </c>
      <c r="AF80" s="790"/>
      <c r="AG80" s="794">
        <f t="shared" si="1229" ref="AG80">AG79*AG$4/1000</f>
        <v>6.7000000000000002</v>
      </c>
      <c r="AH80" s="794">
        <f t="shared" si="1230" ref="AH80">AH79*AH$4/1000</f>
        <v>3.645</v>
      </c>
      <c r="AI80" s="794">
        <f t="shared" si="1231" ref="AI80">AI79*AI$4/1000</f>
        <v>11.210000000000001</v>
      </c>
      <c r="AJ80" s="794">
        <f t="shared" si="1232" ref="AJ80">AJ79*AJ$4/1000</f>
        <v>21.5</v>
      </c>
      <c r="AK80" s="794">
        <f t="shared" si="1233" ref="AK80">AK79*AK$4/1000</f>
        <v>0</v>
      </c>
      <c r="AL80" s="794">
        <f t="shared" si="1234" ref="AL80">AL79*AL$4/1000</f>
        <v>0</v>
      </c>
      <c r="AM80" s="794">
        <f t="shared" si="1235" ref="AM80">AM79*AM$4/1000</f>
        <v>0</v>
      </c>
    </row>
    <row r="81" spans="1:42" ht="14.5">
      <c r="A81" s="920">
        <v>42675</v>
      </c>
      <c r="B81" s="788"/>
      <c r="C81" s="789">
        <f t="shared" si="1037"/>
        <v>4595</v>
      </c>
      <c r="D81" s="789">
        <v>4678</v>
      </c>
      <c r="E81" s="789">
        <v>450</v>
      </c>
      <c r="F81" s="789">
        <v>2395</v>
      </c>
      <c r="G81" s="789">
        <v>260</v>
      </c>
      <c r="H81" s="789">
        <v>51</v>
      </c>
      <c r="I81" s="789">
        <f>397-84</f>
        <v>313</v>
      </c>
      <c r="J81" s="789">
        <v>61</v>
      </c>
      <c r="K81" s="789">
        <v>110</v>
      </c>
      <c r="L81" s="789">
        <v>123</v>
      </c>
      <c r="M81" s="789">
        <v>288</v>
      </c>
      <c r="N81" s="790"/>
      <c r="O81" s="789">
        <v>29</v>
      </c>
      <c r="P81" s="789">
        <v>14</v>
      </c>
      <c r="Q81" s="789">
        <v>18</v>
      </c>
      <c r="R81" s="789">
        <v>3</v>
      </c>
      <c r="S81" s="789">
        <v>2</v>
      </c>
      <c r="T81" s="789">
        <v>47</v>
      </c>
      <c r="U81" s="789">
        <v>48</v>
      </c>
      <c r="V81" s="789">
        <v>13</v>
      </c>
      <c r="W81" s="789">
        <v>19</v>
      </c>
      <c r="X81" s="789">
        <v>34</v>
      </c>
      <c r="Y81" s="789">
        <v>23</v>
      </c>
      <c r="Z81" s="789">
        <v>2</v>
      </c>
      <c r="AA81" s="789">
        <v>7</v>
      </c>
      <c r="AB81" s="789"/>
      <c r="AC81" s="789">
        <v>3</v>
      </c>
      <c r="AD81" s="789"/>
      <c r="AE81" s="789">
        <v>1</v>
      </c>
      <c r="AF81" s="790"/>
      <c r="AG81" s="791">
        <v>68</v>
      </c>
      <c r="AH81" s="791">
        <v>27</v>
      </c>
      <c r="AI81" s="791">
        <v>86</v>
      </c>
      <c r="AJ81" s="791">
        <v>100</v>
      </c>
      <c r="AK81" s="791">
        <v>0</v>
      </c>
      <c r="AL81" s="791">
        <v>0</v>
      </c>
      <c r="AO81">
        <f t="shared" si="1035"/>
        <v>281</v>
      </c>
      <c r="AP81">
        <f t="shared" si="1036"/>
        <v>-253</v>
      </c>
    </row>
    <row r="82" spans="1:39" ht="14.5">
      <c r="A82" s="920"/>
      <c r="B82" s="793"/>
      <c r="C82" s="794">
        <f t="shared" si="1037"/>
        <v>270.84000000000003</v>
      </c>
      <c r="D82" s="794">
        <v>276.69799999999998</v>
      </c>
      <c r="E82" s="794">
        <f>E81*E$4/1000</f>
        <v>11.25</v>
      </c>
      <c r="F82" s="794">
        <f t="shared" si="1236" ref="F82">F81*F$4/1000</f>
        <v>86.219999999999999</v>
      </c>
      <c r="G82" s="794">
        <f t="shared" si="1237" ref="G82">G81*G$4/1000</f>
        <v>13.26</v>
      </c>
      <c r="H82" s="794">
        <f t="shared" si="1238" ref="H82">H81*H$4/1000</f>
        <v>2.6520000000000001</v>
      </c>
      <c r="I82" s="794">
        <f t="shared" si="1239" ref="I82">I81*I$4/1000</f>
        <v>22.536000000000001</v>
      </c>
      <c r="J82" s="794">
        <f t="shared" si="1240" ref="J82">J81*J$4/1000</f>
        <v>4.5750000000000002</v>
      </c>
      <c r="K82" s="794">
        <f t="shared" si="1241" ref="K82">K81*K$4/1000</f>
        <v>10.119999999999999</v>
      </c>
      <c r="L82" s="794">
        <f t="shared" si="1242" ref="L82">L81*L$4/1000</f>
        <v>12.669000000000001</v>
      </c>
      <c r="M82" s="794">
        <f t="shared" si="1243" ref="M82">M81*M$4/1000</f>
        <v>41.183999999999998</v>
      </c>
      <c r="N82" s="794">
        <f t="shared" si="1244" ref="N82">N81*N$4/1000</f>
        <v>0</v>
      </c>
      <c r="O82" s="794">
        <f t="shared" si="1245" ref="O82">O81*O$4/1000</f>
        <v>0.87</v>
      </c>
      <c r="P82" s="794">
        <f t="shared" si="1246" ref="P82">P81*P$4/1000</f>
        <v>0.58799999999999997</v>
      </c>
      <c r="Q82" s="794">
        <f t="shared" si="1247" ref="Q82">Q81*Q$4/1000</f>
        <v>0.91800000000000004</v>
      </c>
      <c r="R82" s="794">
        <f t="shared" si="1248" ref="R82">R81*R$4/1000</f>
        <v>0.159</v>
      </c>
      <c r="S82" s="794">
        <f t="shared" si="1249" ref="S82">S81*S$4/1000</f>
        <v>0.12</v>
      </c>
      <c r="T82" s="794">
        <f t="shared" si="1250" ref="T82">T81*T$4/1000</f>
        <v>3.29</v>
      </c>
      <c r="U82" s="794">
        <f t="shared" si="1251" ref="U82">U81*U$4/1000</f>
        <v>3.4079999999999999</v>
      </c>
      <c r="V82" s="794">
        <f t="shared" si="1252" ref="V82">V81*V$4/1000</f>
        <v>0.93600000000000005</v>
      </c>
      <c r="W82" s="794">
        <f t="shared" si="1253" ref="W82">W81*W$4/1000</f>
        <v>1.425</v>
      </c>
      <c r="X82" s="794">
        <f t="shared" si="1254" ref="X82">X81*X$4/1000</f>
        <v>2.7200000000000002</v>
      </c>
      <c r="Y82" s="794">
        <f t="shared" si="1255" ref="Y82">Y81*Y$4/1000</f>
        <v>2.1389999999999998</v>
      </c>
      <c r="Z82" s="794">
        <f t="shared" si="1256" ref="Z82">Z81*Z$4/1000</f>
        <v>0.188</v>
      </c>
      <c r="AA82" s="794">
        <f t="shared" si="1257" ref="AA82">AA81*AA$4/1000</f>
        <v>0.71399999999999997</v>
      </c>
      <c r="AB82" s="794">
        <f t="shared" si="1258" ref="AB82">AB81*AB$4/1000</f>
        <v>0</v>
      </c>
      <c r="AC82" s="794">
        <f t="shared" si="1259" ref="AC82">AC81*AC$4/1000</f>
        <v>0.45000000000000001</v>
      </c>
      <c r="AD82" s="794">
        <f t="shared" si="1260" ref="AD82">AD81*AD$4/1000</f>
        <v>0</v>
      </c>
      <c r="AE82" s="794">
        <f t="shared" si="1261" ref="AE82">AE81*AE$4/1000</f>
        <v>0.16400000000000001</v>
      </c>
      <c r="AF82" s="790"/>
      <c r="AG82" s="794">
        <f t="shared" si="1262" ref="AG82">AG81*AG$4/1000</f>
        <v>6.7999999999999998</v>
      </c>
      <c r="AH82" s="794">
        <f t="shared" si="1263" ref="AH82">AH81*AH$4/1000</f>
        <v>3.645</v>
      </c>
      <c r="AI82" s="794">
        <f t="shared" si="1264" ref="AI82">AI81*AI$4/1000</f>
        <v>16.34</v>
      </c>
      <c r="AJ82" s="794">
        <f t="shared" si="1265" ref="AJ82">AJ81*AJ$4/1000</f>
        <v>21.5</v>
      </c>
      <c r="AK82" s="794">
        <f t="shared" si="1266" ref="AK82">AK81*AK$4/1000</f>
        <v>0</v>
      </c>
      <c r="AL82" s="794">
        <f t="shared" si="1267" ref="AL82">AL81*AL$4/1000</f>
        <v>0</v>
      </c>
      <c r="AM82" s="794">
        <f t="shared" si="1268" ref="AM82">AM81*AM$4/1000</f>
        <v>0</v>
      </c>
    </row>
    <row r="83" spans="1:42" ht="14.5">
      <c r="A83" s="918">
        <v>42644</v>
      </c>
      <c r="B83" s="788"/>
      <c r="C83" s="789">
        <f t="shared" si="1037"/>
        <v>4595</v>
      </c>
      <c r="D83" s="789">
        <v>4678</v>
      </c>
      <c r="E83" s="789">
        <v>250</v>
      </c>
      <c r="F83" s="789">
        <v>2377</v>
      </c>
      <c r="G83" s="789">
        <v>260</v>
      </c>
      <c r="H83" s="789">
        <v>31</v>
      </c>
      <c r="I83" s="789">
        <f>397-83</f>
        <v>314</v>
      </c>
      <c r="J83" s="789">
        <v>45</v>
      </c>
      <c r="K83" s="789">
        <v>110</v>
      </c>
      <c r="L83" s="789">
        <v>123</v>
      </c>
      <c r="M83" s="789">
        <v>288</v>
      </c>
      <c r="N83" s="790"/>
      <c r="O83" s="789">
        <v>29</v>
      </c>
      <c r="P83" s="789">
        <v>14</v>
      </c>
      <c r="Q83" s="789">
        <v>18</v>
      </c>
      <c r="R83" s="789">
        <v>3</v>
      </c>
      <c r="S83" s="789">
        <v>2</v>
      </c>
      <c r="T83" s="789">
        <v>47</v>
      </c>
      <c r="U83" s="789">
        <v>48</v>
      </c>
      <c r="V83" s="789">
        <v>13</v>
      </c>
      <c r="W83" s="789">
        <v>19</v>
      </c>
      <c r="X83" s="789">
        <v>34</v>
      </c>
      <c r="Y83" s="789">
        <v>23</v>
      </c>
      <c r="Z83" s="789">
        <v>2</v>
      </c>
      <c r="AA83" s="789">
        <v>7</v>
      </c>
      <c r="AB83" s="789"/>
      <c r="AC83" s="789">
        <v>3</v>
      </c>
      <c r="AD83" s="789"/>
      <c r="AE83" s="789">
        <v>1</v>
      </c>
      <c r="AF83" s="790"/>
      <c r="AG83" s="791">
        <v>90</v>
      </c>
      <c r="AH83" s="791">
        <v>243</v>
      </c>
      <c r="AI83" s="791">
        <f>101</f>
        <v>101</v>
      </c>
      <c r="AJ83" s="791">
        <v>100</v>
      </c>
      <c r="AK83" s="791">
        <v>0</v>
      </c>
      <c r="AL83" s="791">
        <v>0</v>
      </c>
      <c r="AO83">
        <f t="shared" si="1035"/>
        <v>534</v>
      </c>
      <c r="AP83">
        <f t="shared" si="1036"/>
        <v>-297</v>
      </c>
    </row>
    <row r="84" spans="1:39" ht="14.5">
      <c r="A84" s="919"/>
      <c r="B84" s="793"/>
      <c r="C84" s="794">
        <f t="shared" si="1037"/>
        <v>297.23399999999998</v>
      </c>
      <c r="D84" s="794">
        <v>303.20999999999998</v>
      </c>
      <c r="E84" s="794">
        <f>E83*E$4/1000</f>
        <v>6.25</v>
      </c>
      <c r="F84" s="794">
        <f t="shared" si="1269" ref="F84">F83*F$4/1000</f>
        <v>85.572000000000003</v>
      </c>
      <c r="G84" s="794">
        <f t="shared" si="1270" ref="G84">G83*G$4/1000</f>
        <v>13.26</v>
      </c>
      <c r="H84" s="794">
        <f t="shared" si="1271" ref="H84">H83*H$4/1000</f>
        <v>1.6120000000000001</v>
      </c>
      <c r="I84" s="794">
        <f>I83*I$4/1000</f>
        <v>22.608000000000001</v>
      </c>
      <c r="J84" s="794">
        <f t="shared" si="1272" ref="J84">J83*J$4/1000</f>
        <v>3.375</v>
      </c>
      <c r="K84" s="794">
        <f t="shared" si="1273" ref="K84">K83*K$4/1000</f>
        <v>10.119999999999999</v>
      </c>
      <c r="L84" s="794">
        <f t="shared" si="1274" ref="L84">L83*L$4/1000</f>
        <v>12.669000000000001</v>
      </c>
      <c r="M84" s="794">
        <f t="shared" si="1275" ref="M84">M83*M$4/1000</f>
        <v>41.183999999999998</v>
      </c>
      <c r="N84" s="794">
        <f t="shared" si="1276" ref="N84">N83*N$4/1000</f>
        <v>0</v>
      </c>
      <c r="O84" s="794">
        <f t="shared" si="1277" ref="O84">O83*O$4/1000</f>
        <v>0.87</v>
      </c>
      <c r="P84" s="794">
        <f t="shared" si="1278" ref="P84">P83*P$4/1000</f>
        <v>0.58799999999999997</v>
      </c>
      <c r="Q84" s="794">
        <f t="shared" si="1279" ref="Q84">Q83*Q$4/1000</f>
        <v>0.91800000000000004</v>
      </c>
      <c r="R84" s="794">
        <f t="shared" si="1280" ref="R84">R83*R$4/1000</f>
        <v>0.159</v>
      </c>
      <c r="S84" s="794">
        <f t="shared" si="1281" ref="S84">S83*S$4/1000</f>
        <v>0.12</v>
      </c>
      <c r="T84" s="794">
        <f t="shared" si="1282" ref="T84">T83*T$4/1000</f>
        <v>3.29</v>
      </c>
      <c r="U84" s="794">
        <f t="shared" si="1283" ref="U84">U83*U$4/1000</f>
        <v>3.4079999999999999</v>
      </c>
      <c r="V84" s="794">
        <f t="shared" si="1284" ref="V84">V83*V$4/1000</f>
        <v>0.93600000000000005</v>
      </c>
      <c r="W84" s="794">
        <f t="shared" si="1285" ref="W84">W83*W$4/1000</f>
        <v>1.425</v>
      </c>
      <c r="X84" s="794">
        <f t="shared" si="1286" ref="X84">X83*X$4/1000</f>
        <v>2.7200000000000002</v>
      </c>
      <c r="Y84" s="794">
        <f t="shared" si="1287" ref="Y84">Y83*Y$4/1000</f>
        <v>2.1389999999999998</v>
      </c>
      <c r="Z84" s="794">
        <f t="shared" si="1288" ref="Z84">Z83*Z$4/1000</f>
        <v>0.188</v>
      </c>
      <c r="AA84" s="794">
        <f t="shared" si="1289" ref="AA84">AA83*AA$4/1000</f>
        <v>0.71399999999999997</v>
      </c>
      <c r="AB84" s="794">
        <f t="shared" si="1290" ref="AB84">AB83*AB$4/1000</f>
        <v>0</v>
      </c>
      <c r="AC84" s="794">
        <f t="shared" si="1291" ref="AC84">AC83*AC$4/1000</f>
        <v>0.45000000000000001</v>
      </c>
      <c r="AD84" s="794">
        <f t="shared" si="1292" ref="AD84">AD83*AD$4/1000</f>
        <v>0</v>
      </c>
      <c r="AE84" s="794">
        <f t="shared" si="1293" ref="AE84">AE83*AE$4/1000</f>
        <v>0.16400000000000001</v>
      </c>
      <c r="AF84" s="790"/>
      <c r="AG84" s="794">
        <f t="shared" si="1294" ref="AG84">AG83*AG$4/1000</f>
        <v>9</v>
      </c>
      <c r="AH84" s="794">
        <f t="shared" si="1295" ref="AH84">AH83*AH$4/1000</f>
        <v>32.805</v>
      </c>
      <c r="AI84" s="794">
        <f t="shared" si="1296" ref="AI84">AI83*AI$4/1000</f>
        <v>19.190000000000001</v>
      </c>
      <c r="AJ84" s="794">
        <f t="shared" si="1297" ref="AJ84">AJ83*AJ$4/1000</f>
        <v>21.5</v>
      </c>
      <c r="AK84" s="794">
        <f t="shared" si="1298" ref="AK84">AK83*AK$4/1000</f>
        <v>0</v>
      </c>
      <c r="AL84" s="794">
        <f t="shared" si="1299" ref="AL84">AL83*AL$4/1000</f>
        <v>0</v>
      </c>
      <c r="AM84" s="794">
        <f t="shared" si="1300" ref="AM84">AM83*AM$4/1000</f>
        <v>0</v>
      </c>
    </row>
    <row r="85" spans="1:42" ht="14.5">
      <c r="A85" s="918">
        <v>42614</v>
      </c>
      <c r="B85" s="788"/>
      <c r="C85" s="789">
        <f t="shared" si="1037"/>
        <v>4595</v>
      </c>
      <c r="D85" s="789">
        <v>4678</v>
      </c>
      <c r="E85" s="789">
        <v>7</v>
      </c>
      <c r="F85" s="789">
        <v>2377</v>
      </c>
      <c r="G85" s="789">
        <v>260</v>
      </c>
      <c r="H85" s="789">
        <v>30</v>
      </c>
      <c r="I85" s="789">
        <f>387-83</f>
        <v>304</v>
      </c>
      <c r="J85" s="789">
        <v>2</v>
      </c>
      <c r="K85" s="789">
        <v>110</v>
      </c>
      <c r="L85" s="789">
        <v>123</v>
      </c>
      <c r="M85" s="789">
        <v>288</v>
      </c>
      <c r="N85" s="790"/>
      <c r="O85" s="789">
        <v>29</v>
      </c>
      <c r="P85" s="789">
        <v>14</v>
      </c>
      <c r="Q85" s="789">
        <v>18</v>
      </c>
      <c r="R85" s="789">
        <v>3</v>
      </c>
      <c r="S85" s="789">
        <v>2</v>
      </c>
      <c r="T85" s="789">
        <v>47</v>
      </c>
      <c r="U85" s="789">
        <v>48</v>
      </c>
      <c r="V85" s="789">
        <v>13</v>
      </c>
      <c r="W85" s="789">
        <v>19</v>
      </c>
      <c r="X85" s="789">
        <v>34</v>
      </c>
      <c r="Y85" s="789">
        <v>23</v>
      </c>
      <c r="Z85" s="789">
        <v>2</v>
      </c>
      <c r="AA85" s="789">
        <v>7</v>
      </c>
      <c r="AB85" s="789"/>
      <c r="AC85" s="789">
        <v>3</v>
      </c>
      <c r="AD85" s="789"/>
      <c r="AE85" s="789">
        <v>1</v>
      </c>
      <c r="AF85" s="790"/>
      <c r="AG85" s="791">
        <v>91</v>
      </c>
      <c r="AH85" s="791">
        <v>465</v>
      </c>
      <c r="AI85" s="791">
        <f>175</f>
        <v>175</v>
      </c>
      <c r="AJ85" s="791">
        <v>100</v>
      </c>
      <c r="AK85" s="791">
        <v>0</v>
      </c>
      <c r="AL85" s="791">
        <v>0</v>
      </c>
      <c r="AO85">
        <f t="shared" si="1035"/>
        <v>831</v>
      </c>
      <c r="AP85">
        <f t="shared" si="1036"/>
        <v>-67</v>
      </c>
    </row>
    <row r="86" spans="1:39" ht="14.5">
      <c r="A86" s="919"/>
      <c r="B86" s="793"/>
      <c r="C86" s="794">
        <f t="shared" si="1037"/>
        <v>331.29199999999997</v>
      </c>
      <c r="D86" s="794">
        <v>337.26799999999997</v>
      </c>
      <c r="E86" s="794">
        <f>E85*E$4/1000</f>
        <v>0.17499999999999999</v>
      </c>
      <c r="F86" s="794">
        <f t="shared" si="1301" ref="F86">F85*F$4/1000</f>
        <v>85.572000000000003</v>
      </c>
      <c r="G86" s="794">
        <f t="shared" si="1302" ref="G86">G85*G$4/1000</f>
        <v>13.26</v>
      </c>
      <c r="H86" s="794">
        <f t="shared" si="1303" ref="H86">H85*H$4/1000</f>
        <v>1.5600000000000001</v>
      </c>
      <c r="I86" s="794">
        <f t="shared" si="1304" ref="I86">I85*I$4/1000</f>
        <v>21.888000000000002</v>
      </c>
      <c r="J86" s="794">
        <f t="shared" si="1305" ref="J86">J85*J$4/1000</f>
        <v>0.14999999999999999</v>
      </c>
      <c r="K86" s="794">
        <f t="shared" si="1306" ref="K86">K85*K$4/1000</f>
        <v>10.119999999999999</v>
      </c>
      <c r="L86" s="794">
        <f t="shared" si="1307" ref="L86">L85*L$4/1000</f>
        <v>12.669000000000001</v>
      </c>
      <c r="M86" s="794">
        <f t="shared" si="1308" ref="M86">M85*M$4/1000</f>
        <v>41.183999999999998</v>
      </c>
      <c r="N86" s="794">
        <f t="shared" si="1309" ref="N86">N85*N$4/1000</f>
        <v>0</v>
      </c>
      <c r="O86" s="794">
        <f t="shared" si="1310" ref="O86">O85*O$4/1000</f>
        <v>0.87</v>
      </c>
      <c r="P86" s="794">
        <f t="shared" si="1311" ref="P86">P85*P$4/1000</f>
        <v>0.58799999999999997</v>
      </c>
      <c r="Q86" s="794">
        <f t="shared" si="1312" ref="Q86">Q85*Q$4/1000</f>
        <v>0.91800000000000004</v>
      </c>
      <c r="R86" s="794">
        <f t="shared" si="1313" ref="R86">R85*R$4/1000</f>
        <v>0.159</v>
      </c>
      <c r="S86" s="794">
        <f t="shared" si="1314" ref="S86">S85*S$4/1000</f>
        <v>0.12</v>
      </c>
      <c r="T86" s="794">
        <f t="shared" si="1315" ref="T86">T85*T$4/1000</f>
        <v>3.29</v>
      </c>
      <c r="U86" s="794">
        <f t="shared" si="1316" ref="U86">U85*U$4/1000</f>
        <v>3.4079999999999999</v>
      </c>
      <c r="V86" s="794">
        <f t="shared" si="1317" ref="V86">V85*V$4/1000</f>
        <v>0.93600000000000005</v>
      </c>
      <c r="W86" s="794">
        <f t="shared" si="1318" ref="W86">W85*W$4/1000</f>
        <v>1.425</v>
      </c>
      <c r="X86" s="794">
        <f t="shared" si="1319" ref="X86">X85*X$4/1000</f>
        <v>2.7200000000000002</v>
      </c>
      <c r="Y86" s="794">
        <f t="shared" si="1320" ref="Y86">Y85*Y$4/1000</f>
        <v>2.1389999999999998</v>
      </c>
      <c r="Z86" s="794">
        <f t="shared" si="1321" ref="Z86">Z85*Z$4/1000</f>
        <v>0.188</v>
      </c>
      <c r="AA86" s="794">
        <f t="shared" si="1322" ref="AA86">AA85*AA$4/1000</f>
        <v>0.71399999999999997</v>
      </c>
      <c r="AB86" s="794">
        <f t="shared" si="1323" ref="AB86">AB85*AB$4/1000</f>
        <v>0</v>
      </c>
      <c r="AC86" s="794">
        <f t="shared" si="1324" ref="AC86">AC85*AC$4/1000</f>
        <v>0.45000000000000001</v>
      </c>
      <c r="AD86" s="794">
        <f t="shared" si="1325" ref="AD86">AD85*AD$4/1000</f>
        <v>0</v>
      </c>
      <c r="AE86" s="794">
        <f t="shared" si="1326" ref="AE86">AE85*AE$4/1000</f>
        <v>0.16400000000000001</v>
      </c>
      <c r="AF86" s="790"/>
      <c r="AG86" s="794">
        <f t="shared" si="1327" ref="AG86">AG85*AG$4/1000</f>
        <v>9.0999999999999996</v>
      </c>
      <c r="AH86" s="794">
        <f t="shared" si="1328" ref="AH86">AH85*AH$4/1000</f>
        <v>62.774999999999999</v>
      </c>
      <c r="AI86" s="794">
        <f t="shared" si="1329" ref="AI86">AI85*AI$4/1000</f>
        <v>33.25</v>
      </c>
      <c r="AJ86" s="794">
        <f t="shared" si="1330" ref="AJ86">AJ85*AJ$4/1000</f>
        <v>21.5</v>
      </c>
      <c r="AK86" s="794">
        <f t="shared" si="1331" ref="AK86">AK85*AK$4/1000</f>
        <v>0</v>
      </c>
      <c r="AL86" s="794">
        <f t="shared" si="1332" ref="AL86">AL85*AL$4/1000</f>
        <v>0</v>
      </c>
      <c r="AM86" s="794">
        <f t="shared" si="1333" ref="AM86">AM85*AM$4/1000</f>
        <v>0</v>
      </c>
    </row>
    <row r="87" spans="1:42" ht="14.5">
      <c r="A87" s="918">
        <v>42583</v>
      </c>
      <c r="B87" s="788"/>
      <c r="C87" s="789">
        <f t="shared" si="1037"/>
        <v>4595</v>
      </c>
      <c r="D87" s="789">
        <v>4679</v>
      </c>
      <c r="E87" s="789">
        <v>0</v>
      </c>
      <c r="F87" s="789">
        <v>2372</v>
      </c>
      <c r="G87" s="789">
        <v>258</v>
      </c>
      <c r="H87" s="789">
        <v>30</v>
      </c>
      <c r="I87" s="789">
        <f>372-84</f>
        <v>288</v>
      </c>
      <c r="J87" s="789">
        <v>2</v>
      </c>
      <c r="K87" s="789">
        <v>109</v>
      </c>
      <c r="L87" s="789">
        <v>113</v>
      </c>
      <c r="M87" s="789">
        <v>262</v>
      </c>
      <c r="N87" s="790"/>
      <c r="O87" s="789">
        <v>29</v>
      </c>
      <c r="P87" s="789">
        <v>14</v>
      </c>
      <c r="Q87" s="789">
        <v>18</v>
      </c>
      <c r="R87" s="789">
        <v>3</v>
      </c>
      <c r="S87" s="789">
        <v>2</v>
      </c>
      <c r="T87" s="789">
        <v>47</v>
      </c>
      <c r="U87" s="789">
        <v>48</v>
      </c>
      <c r="V87" s="789">
        <v>13</v>
      </c>
      <c r="W87" s="789">
        <v>19</v>
      </c>
      <c r="X87" s="789">
        <v>34</v>
      </c>
      <c r="Y87" s="789">
        <v>23</v>
      </c>
      <c r="Z87" s="789">
        <v>2</v>
      </c>
      <c r="AA87" s="789">
        <v>7</v>
      </c>
      <c r="AB87" s="789"/>
      <c r="AC87" s="789">
        <v>3</v>
      </c>
      <c r="AD87" s="789"/>
      <c r="AE87" s="789">
        <v>1</v>
      </c>
      <c r="AF87" s="790"/>
      <c r="AG87" s="791">
        <v>106</v>
      </c>
      <c r="AH87" s="791">
        <v>472</v>
      </c>
      <c r="AI87" s="791">
        <v>201</v>
      </c>
      <c r="AJ87" s="791">
        <v>100</v>
      </c>
      <c r="AK87" s="791">
        <v>0</v>
      </c>
      <c r="AL87" s="791">
        <v>19</v>
      </c>
      <c r="AO87">
        <f t="shared" si="1035"/>
        <v>898</v>
      </c>
      <c r="AP87">
        <f t="shared" si="1036"/>
        <v>-643</v>
      </c>
    </row>
    <row r="88" spans="1:39" ht="14.5">
      <c r="A88" s="919"/>
      <c r="B88" s="793"/>
      <c r="C88" s="794">
        <f t="shared" si="1037"/>
        <v>338.118</v>
      </c>
      <c r="D88" s="794">
        <v>344.166</v>
      </c>
      <c r="E88" s="794">
        <f>E87*E$4/1000</f>
        <v>0</v>
      </c>
      <c r="F88" s="794">
        <f t="shared" si="1334" ref="F88">F87*F$4/1000</f>
        <v>85.391999999999996</v>
      </c>
      <c r="G88" s="794">
        <f t="shared" si="1335" ref="G88">G87*G$4/1000</f>
        <v>13.158</v>
      </c>
      <c r="H88" s="794">
        <f t="shared" si="1336" ref="H88">H87*H$4/1000</f>
        <v>1.5600000000000001</v>
      </c>
      <c r="I88" s="794">
        <f t="shared" si="1337" ref="I88">I87*I$4/1000</f>
        <v>20.736000000000001</v>
      </c>
      <c r="J88" s="794">
        <f t="shared" si="1338" ref="J88">J87*J$4/1000</f>
        <v>0.14999999999999999</v>
      </c>
      <c r="K88" s="794">
        <f t="shared" si="1339" ref="K88">K87*K$4/1000</f>
        <v>10.028000000000001</v>
      </c>
      <c r="L88" s="794">
        <f t="shared" si="1340" ref="L88">L87*L$4/1000</f>
        <v>11.638999999999999</v>
      </c>
      <c r="M88" s="794">
        <f t="shared" si="1341" ref="M88">M87*M$4/1000</f>
        <v>37.466000000000001</v>
      </c>
      <c r="N88" s="794">
        <f t="shared" si="1342" ref="N88">N87*N$4/1000</f>
        <v>0</v>
      </c>
      <c r="O88" s="794">
        <f t="shared" si="1343" ref="O88">O87*O$4/1000</f>
        <v>0.87</v>
      </c>
      <c r="P88" s="794">
        <f t="shared" si="1344" ref="P88">P87*P$4/1000</f>
        <v>0.58799999999999997</v>
      </c>
      <c r="Q88" s="794">
        <f t="shared" si="1345" ref="Q88">Q87*Q$4/1000</f>
        <v>0.91800000000000004</v>
      </c>
      <c r="R88" s="794">
        <f t="shared" si="1346" ref="R88">R87*R$4/1000</f>
        <v>0.159</v>
      </c>
      <c r="S88" s="794">
        <f t="shared" si="1347" ref="S88">S87*S$4/1000</f>
        <v>0.12</v>
      </c>
      <c r="T88" s="794">
        <f t="shared" si="1348" ref="T88">T87*T$4/1000</f>
        <v>3.29</v>
      </c>
      <c r="U88" s="794">
        <f t="shared" si="1349" ref="U88">U87*U$4/1000</f>
        <v>3.4079999999999999</v>
      </c>
      <c r="V88" s="794">
        <f t="shared" si="1350" ref="V88">V87*V$4/1000</f>
        <v>0.93600000000000005</v>
      </c>
      <c r="W88" s="794">
        <f t="shared" si="1351" ref="W88">W87*W$4/1000</f>
        <v>1.425</v>
      </c>
      <c r="X88" s="794">
        <f t="shared" si="1352" ref="X88">X87*X$4/1000</f>
        <v>2.7200000000000002</v>
      </c>
      <c r="Y88" s="794">
        <f t="shared" si="1353" ref="Y88">Y87*Y$4/1000</f>
        <v>2.1389999999999998</v>
      </c>
      <c r="Z88" s="794">
        <f t="shared" si="1354" ref="Z88">Z87*Z$4/1000</f>
        <v>0.188</v>
      </c>
      <c r="AA88" s="794">
        <f t="shared" si="1355" ref="AA88">AA87*AA$4/1000</f>
        <v>0.71399999999999997</v>
      </c>
      <c r="AB88" s="794">
        <f t="shared" si="1356" ref="AB88">AB87*AB$4/1000</f>
        <v>0</v>
      </c>
      <c r="AC88" s="794">
        <f t="shared" si="1357" ref="AC88">AC87*AC$4/1000</f>
        <v>0.45000000000000001</v>
      </c>
      <c r="AD88" s="794">
        <f t="shared" si="1358" ref="AD88">AD87*AD$4/1000</f>
        <v>0</v>
      </c>
      <c r="AE88" s="794">
        <f t="shared" si="1359" ref="AE88">AE87*AE$4/1000</f>
        <v>0.16400000000000001</v>
      </c>
      <c r="AF88" s="790"/>
      <c r="AG88" s="794">
        <f t="shared" si="1360" ref="AG88">AG87*AG$4/1000</f>
        <v>10.6</v>
      </c>
      <c r="AH88" s="794">
        <f t="shared" si="1361" ref="AH88">AH87*AH$4/1000</f>
        <v>63.719999999999999</v>
      </c>
      <c r="AI88" s="794">
        <f t="shared" si="1362" ref="AI88">AI87*AI$4/1000</f>
        <v>38.189999999999998</v>
      </c>
      <c r="AJ88" s="794">
        <f t="shared" si="1363" ref="AJ88">AJ87*AJ$4/1000</f>
        <v>21.5</v>
      </c>
      <c r="AK88" s="794">
        <f t="shared" si="1364" ref="AK88">AK87*AK$4/1000</f>
        <v>0</v>
      </c>
      <c r="AL88" s="794">
        <f t="shared" si="1365" ref="AL88">AL87*AL$4/1000</f>
        <v>5.8899999999999997</v>
      </c>
      <c r="AM88" s="794">
        <f t="shared" si="1366" ref="AM88">AM87*AM$4/1000</f>
        <v>0</v>
      </c>
    </row>
    <row r="89" spans="1:42" ht="14.5">
      <c r="A89" s="918">
        <v>42552</v>
      </c>
      <c r="B89" s="788"/>
      <c r="C89" s="789">
        <f t="shared" si="1037"/>
        <v>4594</v>
      </c>
      <c r="D89" s="789">
        <v>4267</v>
      </c>
      <c r="E89" s="789">
        <v>0</v>
      </c>
      <c r="F89" s="789">
        <v>2157</v>
      </c>
      <c r="G89" s="789">
        <v>115</v>
      </c>
      <c r="H89" s="789">
        <v>30</v>
      </c>
      <c r="I89" s="789">
        <f>297-84</f>
        <v>213</v>
      </c>
      <c r="J89" s="789">
        <v>2</v>
      </c>
      <c r="K89" s="789">
        <v>67</v>
      </c>
      <c r="L89" s="789">
        <v>108</v>
      </c>
      <c r="M89" s="789">
        <v>98</v>
      </c>
      <c r="N89" s="790"/>
      <c r="O89" s="789">
        <v>29</v>
      </c>
      <c r="P89" s="789">
        <v>14</v>
      </c>
      <c r="Q89" s="789">
        <v>18</v>
      </c>
      <c r="R89" s="789">
        <v>3</v>
      </c>
      <c r="S89" s="789">
        <v>2</v>
      </c>
      <c r="T89" s="789">
        <v>47</v>
      </c>
      <c r="U89" s="789">
        <v>48</v>
      </c>
      <c r="V89" s="789">
        <v>13</v>
      </c>
      <c r="W89" s="789">
        <v>19</v>
      </c>
      <c r="X89" s="789">
        <v>34</v>
      </c>
      <c r="Y89" s="789">
        <v>23</v>
      </c>
      <c r="Z89" s="789">
        <v>2</v>
      </c>
      <c r="AA89" s="789">
        <v>7</v>
      </c>
      <c r="AB89" s="789"/>
      <c r="AC89" s="789">
        <v>3</v>
      </c>
      <c r="AD89" s="789"/>
      <c r="AE89" s="789">
        <v>1</v>
      </c>
      <c r="AF89" s="790"/>
      <c r="AG89" s="791">
        <v>515</v>
      </c>
      <c r="AH89" s="791">
        <f>AH91</f>
        <v>518</v>
      </c>
      <c r="AI89" s="791">
        <f>100</f>
        <v>100</v>
      </c>
      <c r="AJ89" s="791">
        <v>8</v>
      </c>
      <c r="AK89" s="791">
        <v>104</v>
      </c>
      <c r="AL89" s="791">
        <f>AL91</f>
        <v>296</v>
      </c>
      <c r="AO89">
        <f t="shared" si="1035"/>
        <v>1541</v>
      </c>
      <c r="AP89">
        <f t="shared" si="1036"/>
        <v>-317</v>
      </c>
    </row>
    <row r="90" spans="1:39" ht="14.5">
      <c r="A90" s="919"/>
      <c r="B90" s="793"/>
      <c r="C90" s="794">
        <f t="shared" si="1037"/>
        <v>409.86400000000003</v>
      </c>
      <c r="D90" s="794">
        <v>357.83699999999999</v>
      </c>
      <c r="E90" s="794">
        <f>E89*E$4/1000</f>
        <v>0</v>
      </c>
      <c r="F90" s="794">
        <f t="shared" si="1367" ref="F90">F89*F$4/1000</f>
        <v>77.652000000000001</v>
      </c>
      <c r="G90" s="794">
        <f t="shared" si="1368" ref="G90">G89*G$4/1000</f>
        <v>5.8650000000000002</v>
      </c>
      <c r="H90" s="794">
        <f t="shared" si="1369" ref="H90">H89*H$4/1000</f>
        <v>1.5600000000000001</v>
      </c>
      <c r="I90" s="794">
        <f t="shared" si="1370" ref="I90">I89*I$4/1000</f>
        <v>15.336</v>
      </c>
      <c r="J90" s="794">
        <f t="shared" si="1371" ref="J90">J89*J$4/1000</f>
        <v>0.14999999999999999</v>
      </c>
      <c r="K90" s="794">
        <f t="shared" si="1372" ref="K90">K89*K$4/1000</f>
        <v>6.1639999999999997</v>
      </c>
      <c r="L90" s="794">
        <f t="shared" si="1373" ref="L90">L89*L$4/1000</f>
        <v>11.124000000000001</v>
      </c>
      <c r="M90" s="794">
        <f t="shared" si="1374" ref="M90">M89*M$4/1000</f>
        <v>14.013999999999999</v>
      </c>
      <c r="N90" s="794">
        <f t="shared" si="1375" ref="N90">N89*N$4/1000</f>
        <v>0</v>
      </c>
      <c r="O90" s="794">
        <f t="shared" si="1376" ref="O90">O89*O$4/1000</f>
        <v>0.87</v>
      </c>
      <c r="P90" s="794">
        <f t="shared" si="1377" ref="P90">P89*P$4/1000</f>
        <v>0.58799999999999997</v>
      </c>
      <c r="Q90" s="794">
        <f t="shared" si="1378" ref="Q90">Q89*Q$4/1000</f>
        <v>0.91800000000000004</v>
      </c>
      <c r="R90" s="794">
        <f t="shared" si="1379" ref="R90">R89*R$4/1000</f>
        <v>0.159</v>
      </c>
      <c r="S90" s="794">
        <f t="shared" si="1380" ref="S90">S89*S$4/1000</f>
        <v>0.12</v>
      </c>
      <c r="T90" s="794">
        <f t="shared" si="1381" ref="T90">T89*T$4/1000</f>
        <v>3.29</v>
      </c>
      <c r="U90" s="794">
        <f t="shared" si="1382" ref="U90">U89*U$4/1000</f>
        <v>3.4079999999999999</v>
      </c>
      <c r="V90" s="794">
        <f t="shared" si="1383" ref="V90">V89*V$4/1000</f>
        <v>0.93600000000000005</v>
      </c>
      <c r="W90" s="794">
        <f t="shared" si="1384" ref="W90">W89*W$4/1000</f>
        <v>1.425</v>
      </c>
      <c r="X90" s="794">
        <f t="shared" si="1385" ref="X90">X89*X$4/1000</f>
        <v>2.7200000000000002</v>
      </c>
      <c r="Y90" s="794">
        <f t="shared" si="1386" ref="Y90">Y89*Y$4/1000</f>
        <v>2.1389999999999998</v>
      </c>
      <c r="Z90" s="794">
        <f t="shared" si="1387" ref="Z90">Z89*Z$4/1000</f>
        <v>0.188</v>
      </c>
      <c r="AA90" s="794">
        <f t="shared" si="1388" ref="AA90">AA89*AA$4/1000</f>
        <v>0.71399999999999997</v>
      </c>
      <c r="AB90" s="794">
        <f t="shared" si="1389" ref="AB90">AB89*AB$4/1000</f>
        <v>0</v>
      </c>
      <c r="AC90" s="794">
        <f t="shared" si="1390" ref="AC90">AC89*AC$4/1000</f>
        <v>0.45000000000000001</v>
      </c>
      <c r="AD90" s="794">
        <f t="shared" si="1391" ref="AD90">AD89*AD$4/1000</f>
        <v>0</v>
      </c>
      <c r="AE90" s="794">
        <f t="shared" si="1392" ref="AE90">AE89*AE$4/1000</f>
        <v>0.16400000000000001</v>
      </c>
      <c r="AF90" s="790"/>
      <c r="AG90" s="794">
        <f t="shared" si="1393" ref="AG90">AG89*AG$4/1000</f>
        <v>51.5</v>
      </c>
      <c r="AH90" s="794">
        <f t="shared" si="1394" ref="AH90">AH89*AH$4/1000</f>
        <v>69.930000000000007</v>
      </c>
      <c r="AI90" s="794">
        <f t="shared" si="1395" ref="AI90">AI89*AI$4/1000</f>
        <v>19</v>
      </c>
      <c r="AJ90" s="794">
        <f t="shared" si="1396" ref="AJ90">AJ89*AJ$4/1000</f>
        <v>1.72</v>
      </c>
      <c r="AK90" s="794">
        <f t="shared" si="1397" ref="AK90">AK89*AK$4/1000</f>
        <v>26</v>
      </c>
      <c r="AL90" s="794">
        <f t="shared" si="1398" ref="AL90">AL89*AL$4/1000</f>
        <v>91.760000000000005</v>
      </c>
      <c r="AM90" s="794">
        <f t="shared" si="1399" ref="AM90">AM89*AM$4/1000</f>
        <v>0</v>
      </c>
    </row>
    <row r="91" spans="1:42" ht="14.5">
      <c r="A91" s="918">
        <v>42522</v>
      </c>
      <c r="B91" s="788"/>
      <c r="C91" s="789">
        <f t="shared" si="1037"/>
        <v>4595</v>
      </c>
      <c r="D91" s="789">
        <v>4679</v>
      </c>
      <c r="E91" s="789">
        <v>0</v>
      </c>
      <c r="F91" s="789">
        <v>2113</v>
      </c>
      <c r="G91" s="789">
        <v>48</v>
      </c>
      <c r="H91" s="789">
        <v>30</v>
      </c>
      <c r="I91" s="789">
        <f>296-84</f>
        <v>212</v>
      </c>
      <c r="J91" s="789">
        <v>2</v>
      </c>
      <c r="K91" s="789">
        <v>66</v>
      </c>
      <c r="L91" s="789">
        <v>3</v>
      </c>
      <c r="M91" s="789">
        <v>0</v>
      </c>
      <c r="N91" s="790"/>
      <c r="O91" s="789">
        <v>29</v>
      </c>
      <c r="P91" s="789">
        <v>14</v>
      </c>
      <c r="Q91" s="789">
        <v>18</v>
      </c>
      <c r="R91" s="789">
        <v>3</v>
      </c>
      <c r="S91" s="789">
        <v>2</v>
      </c>
      <c r="T91" s="789">
        <v>47</v>
      </c>
      <c r="U91" s="789">
        <v>48</v>
      </c>
      <c r="V91" s="789">
        <v>13</v>
      </c>
      <c r="W91" s="789">
        <v>19</v>
      </c>
      <c r="X91" s="789">
        <v>34</v>
      </c>
      <c r="Y91" s="789">
        <v>23</v>
      </c>
      <c r="Z91" s="789">
        <v>2</v>
      </c>
      <c r="AA91" s="789">
        <v>7</v>
      </c>
      <c r="AB91" s="789"/>
      <c r="AC91" s="789">
        <v>3</v>
      </c>
      <c r="AD91" s="789"/>
      <c r="AE91" s="789">
        <v>1</v>
      </c>
      <c r="AF91" s="790"/>
      <c r="AG91" s="791">
        <v>477</v>
      </c>
      <c r="AH91" s="791">
        <v>518</v>
      </c>
      <c r="AI91" s="791">
        <v>459</v>
      </c>
      <c r="AJ91" s="791">
        <v>100</v>
      </c>
      <c r="AK91" s="791">
        <v>8</v>
      </c>
      <c r="AL91" s="791">
        <v>296</v>
      </c>
      <c r="AO91">
        <f t="shared" si="1035"/>
        <v>1858</v>
      </c>
      <c r="AP91">
        <f t="shared" si="1036"/>
        <v>-180</v>
      </c>
    </row>
    <row r="92" spans="1:39" ht="14.5">
      <c r="A92" s="919"/>
      <c r="B92" s="793"/>
      <c r="C92" s="794">
        <f t="shared" si="1037"/>
        <v>440.06</v>
      </c>
      <c r="D92" s="794">
        <v>446.108</v>
      </c>
      <c r="E92" s="794">
        <f>E91*E$4/1000</f>
        <v>0</v>
      </c>
      <c r="F92" s="794">
        <f t="shared" si="1400" ref="F92">F91*F$4/1000</f>
        <v>76.067999999999998</v>
      </c>
      <c r="G92" s="794">
        <f t="shared" si="1401" ref="G92">G91*G$4/1000</f>
        <v>2.448</v>
      </c>
      <c r="H92" s="794">
        <f t="shared" si="1402" ref="H92">H91*H$4/1000</f>
        <v>1.5600000000000001</v>
      </c>
      <c r="I92" s="794">
        <f t="shared" si="1403" ref="I92">I91*I$4/1000</f>
        <v>15.263999999999999</v>
      </c>
      <c r="J92" s="794">
        <f t="shared" si="1404" ref="J92">J91*J$4/1000</f>
        <v>0.14999999999999999</v>
      </c>
      <c r="K92" s="794">
        <f t="shared" si="1405" ref="K92">K91*K$4/1000</f>
        <v>6.0720000000000001</v>
      </c>
      <c r="L92" s="794">
        <f t="shared" si="1406" ref="L92">L91*L$4/1000</f>
        <v>0.309</v>
      </c>
      <c r="M92" s="794">
        <f t="shared" si="1407" ref="M92">M91*M$4/1000</f>
        <v>0</v>
      </c>
      <c r="N92" s="794">
        <f t="shared" si="1408" ref="N92">N91*N$4/1000</f>
        <v>0</v>
      </c>
      <c r="O92" s="794">
        <f t="shared" si="1409" ref="O92">O91*O$4/1000</f>
        <v>0.87</v>
      </c>
      <c r="P92" s="794">
        <f t="shared" si="1410" ref="P92">P91*P$4/1000</f>
        <v>0.58799999999999997</v>
      </c>
      <c r="Q92" s="794">
        <f t="shared" si="1411" ref="Q92">Q91*Q$4/1000</f>
        <v>0.91800000000000004</v>
      </c>
      <c r="R92" s="794">
        <f t="shared" si="1412" ref="R92">R91*R$4/1000</f>
        <v>0.159</v>
      </c>
      <c r="S92" s="794">
        <f t="shared" si="1413" ref="S92">S91*S$4/1000</f>
        <v>0.12</v>
      </c>
      <c r="T92" s="794">
        <f t="shared" si="1414" ref="T92">T91*T$4/1000</f>
        <v>3.29</v>
      </c>
      <c r="U92" s="794">
        <f t="shared" si="1415" ref="U92">U91*U$4/1000</f>
        <v>3.4079999999999999</v>
      </c>
      <c r="V92" s="794">
        <f t="shared" si="1416" ref="V92">V91*V$4/1000</f>
        <v>0.93600000000000005</v>
      </c>
      <c r="W92" s="794">
        <f t="shared" si="1417" ref="W92">W91*W$4/1000</f>
        <v>1.425</v>
      </c>
      <c r="X92" s="794">
        <f t="shared" si="1418" ref="X92">X91*X$4/1000</f>
        <v>2.7200000000000002</v>
      </c>
      <c r="Y92" s="794">
        <f t="shared" si="1419" ref="Y92">Y91*Y$4/1000</f>
        <v>2.1389999999999998</v>
      </c>
      <c r="Z92" s="794">
        <f t="shared" si="1420" ref="Z92">Z91*Z$4/1000</f>
        <v>0.188</v>
      </c>
      <c r="AA92" s="794">
        <f t="shared" si="1421" ref="AA92">AA91*AA$4/1000</f>
        <v>0.71399999999999997</v>
      </c>
      <c r="AB92" s="794">
        <f t="shared" si="1422" ref="AB92">AB91*AB$4/1000</f>
        <v>0</v>
      </c>
      <c r="AC92" s="794">
        <f t="shared" si="1423" ref="AC92">AC91*AC$4/1000</f>
        <v>0.45000000000000001</v>
      </c>
      <c r="AD92" s="794">
        <f t="shared" si="1424" ref="AD92">AD91*AD$4/1000</f>
        <v>0</v>
      </c>
      <c r="AE92" s="794">
        <f t="shared" si="1425" ref="AE92">AE91*AE$4/1000</f>
        <v>0.16400000000000001</v>
      </c>
      <c r="AF92" s="790"/>
      <c r="AG92" s="794">
        <f t="shared" si="1426" ref="AG92">AG91*AG$4/1000</f>
        <v>47.700000000000003</v>
      </c>
      <c r="AH92" s="794">
        <f t="shared" si="1427" ref="AH92">AH91*AH$4/1000</f>
        <v>69.930000000000007</v>
      </c>
      <c r="AI92" s="794">
        <f t="shared" si="1428" ref="AI92">AI91*AI$4/1000</f>
        <v>87.209999999999994</v>
      </c>
      <c r="AJ92" s="794">
        <f t="shared" si="1429" ref="AJ92">AJ91*AJ$4/1000</f>
        <v>21.5</v>
      </c>
      <c r="AK92" s="794">
        <f t="shared" si="1430" ref="AK92">AK91*AK$4/1000</f>
        <v>2</v>
      </c>
      <c r="AL92" s="794">
        <f t="shared" si="1431" ref="AL92">AL91*AL$4/1000</f>
        <v>91.760000000000005</v>
      </c>
      <c r="AM92" s="794">
        <f t="shared" si="1432" ref="AM92">AM91*AM$4/1000</f>
        <v>0</v>
      </c>
    </row>
    <row r="93" spans="1:42" ht="14.5">
      <c r="A93" s="918">
        <v>42491</v>
      </c>
      <c r="B93" s="788"/>
      <c r="C93" s="789">
        <f t="shared" si="1037"/>
        <v>4595</v>
      </c>
      <c r="D93" s="789">
        <v>4595</v>
      </c>
      <c r="E93" s="789"/>
      <c r="F93" s="789">
        <v>2102</v>
      </c>
      <c r="G93" s="789">
        <v>46</v>
      </c>
      <c r="H93" s="789"/>
      <c r="I93" s="789">
        <v>170</v>
      </c>
      <c r="J93" s="789">
        <v>31</v>
      </c>
      <c r="K93" s="789">
        <v>63</v>
      </c>
      <c r="L93" s="789"/>
      <c r="M93" s="789"/>
      <c r="N93" s="790"/>
      <c r="O93" s="789">
        <v>28</v>
      </c>
      <c r="P93" s="789"/>
      <c r="Q93" s="789"/>
      <c r="R93" s="789"/>
      <c r="S93" s="789">
        <v>2</v>
      </c>
      <c r="T93" s="789"/>
      <c r="U93" s="789">
        <v>54</v>
      </c>
      <c r="V93" s="789"/>
      <c r="W93" s="789"/>
      <c r="X93" s="789">
        <v>34</v>
      </c>
      <c r="Y93" s="789">
        <v>26</v>
      </c>
      <c r="Z93" s="789"/>
      <c r="AA93" s="789"/>
      <c r="AB93" s="789"/>
      <c r="AC93" s="789"/>
      <c r="AD93" s="789"/>
      <c r="AE93" s="789">
        <v>1</v>
      </c>
      <c r="AF93" s="790"/>
      <c r="AG93" s="791">
        <v>938</v>
      </c>
      <c r="AH93" s="791">
        <v>152</v>
      </c>
      <c r="AI93" s="791">
        <v>331</v>
      </c>
      <c r="AJ93" s="791"/>
      <c r="AK93" s="791"/>
      <c r="AL93" s="791">
        <v>617</v>
      </c>
      <c r="AO93">
        <f t="shared" si="1035"/>
        <v>2038</v>
      </c>
      <c r="AP93">
        <f t="shared" si="1036"/>
        <v>-298</v>
      </c>
    </row>
    <row r="94" spans="1:39" ht="14.5">
      <c r="A94" s="919"/>
      <c r="B94" s="793"/>
      <c r="C94" s="794">
        <f t="shared" si="1037"/>
        <v>476.95500000000004</v>
      </c>
      <c r="D94" s="794">
        <v>476.97500000000002</v>
      </c>
      <c r="E94" s="794">
        <f>E93*E$4/1000</f>
        <v>0</v>
      </c>
      <c r="F94" s="794">
        <f t="shared" si="1433" ref="F94">F93*F$4/1000</f>
        <v>75.671999999999997</v>
      </c>
      <c r="G94" s="794">
        <f t="shared" si="1434" ref="G94">G93*G$4/1000</f>
        <v>2.3460000000000001</v>
      </c>
      <c r="H94" s="794">
        <f t="shared" si="1435" ref="H94">H93*H$4/1000</f>
        <v>0</v>
      </c>
      <c r="I94" s="794">
        <f t="shared" si="1436" ref="I94">I93*I$4/1000</f>
        <v>12.24</v>
      </c>
      <c r="J94" s="794">
        <f t="shared" si="1437" ref="J94">J93*J$4/1000</f>
        <v>2.3250000000000002</v>
      </c>
      <c r="K94" s="794">
        <f t="shared" si="1438" ref="K94">K93*K$4/1000</f>
        <v>5.7960000000000003</v>
      </c>
      <c r="L94" s="794">
        <f t="shared" si="1439" ref="L94">L93*L$4/1000</f>
        <v>0</v>
      </c>
      <c r="M94" s="794">
        <f t="shared" si="1440" ref="M94">M93*M$4/1000</f>
        <v>0</v>
      </c>
      <c r="N94" s="794">
        <f t="shared" si="1441" ref="N94">N93*N$4/1000</f>
        <v>0</v>
      </c>
      <c r="O94" s="794">
        <f t="shared" si="1442" ref="O94">O93*O$4/1000</f>
        <v>0.83999999999999997</v>
      </c>
      <c r="P94" s="794">
        <f t="shared" si="1443" ref="P94">P93*P$4/1000</f>
        <v>0</v>
      </c>
      <c r="Q94" s="794">
        <f t="shared" si="1444" ref="Q94">Q93*Q$4/1000</f>
        <v>0</v>
      </c>
      <c r="R94" s="794">
        <f t="shared" si="1445" ref="R94">R93*R$4/1000</f>
        <v>0</v>
      </c>
      <c r="S94" s="794">
        <f t="shared" si="1446" ref="S94">S93*S$4/1000</f>
        <v>0.12</v>
      </c>
      <c r="T94" s="794">
        <f t="shared" si="1447" ref="T94">T93*T$4/1000</f>
        <v>0</v>
      </c>
      <c r="U94" s="794">
        <f t="shared" si="1448" ref="U94">U93*U$4/1000</f>
        <v>3.8340000000000001</v>
      </c>
      <c r="V94" s="794">
        <f t="shared" si="1449" ref="V94">V93*V$4/1000</f>
        <v>0</v>
      </c>
      <c r="W94" s="794">
        <f t="shared" si="1450" ref="W94">W93*W$4/1000</f>
        <v>0</v>
      </c>
      <c r="X94" s="794">
        <f t="shared" si="1451" ref="X94">X93*X$4/1000</f>
        <v>2.7200000000000002</v>
      </c>
      <c r="Y94" s="794">
        <f t="shared" si="1452" ref="Y94">Y93*Y$4/1000</f>
        <v>2.4180000000000001</v>
      </c>
      <c r="Z94" s="794">
        <f t="shared" si="1453" ref="Z94">Z93*Z$4/1000</f>
        <v>0</v>
      </c>
      <c r="AA94" s="794">
        <f t="shared" si="1454" ref="AA94">AA93*AA$4/1000</f>
        <v>0</v>
      </c>
      <c r="AB94" s="794">
        <f t="shared" si="1455" ref="AB94">AB93*AB$4/1000</f>
        <v>0</v>
      </c>
      <c r="AC94" s="794">
        <f t="shared" si="1456" ref="AC94">AC93*AC$4/1000</f>
        <v>0</v>
      </c>
      <c r="AD94" s="794">
        <f t="shared" si="1457" ref="AD94">AD93*AD$4/1000</f>
        <v>0</v>
      </c>
      <c r="AE94" s="794">
        <f t="shared" si="1458" ref="AE94">AE93*AE$4/1000</f>
        <v>0.16400000000000001</v>
      </c>
      <c r="AF94" s="790"/>
      <c r="AG94" s="794">
        <f t="shared" si="1459" ref="AG94">AG93*AG$4/1000</f>
        <v>93.799999999999997</v>
      </c>
      <c r="AH94" s="794">
        <f t="shared" si="1460" ref="AH94">AH93*AH$4/1000</f>
        <v>20.52</v>
      </c>
      <c r="AI94" s="794">
        <f t="shared" si="1461" ref="AI94">AI93*AI$4/1000</f>
        <v>62.890000000000001</v>
      </c>
      <c r="AJ94" s="794">
        <f t="shared" si="1462" ref="AJ94">AJ93*AJ$4/1000</f>
        <v>0</v>
      </c>
      <c r="AK94" s="794">
        <f t="shared" si="1463" ref="AK94">AK93*AK$4/1000</f>
        <v>0</v>
      </c>
      <c r="AL94" s="794">
        <f t="shared" si="1464" ref="AL94">AL93*AL$4/1000</f>
        <v>191.27000000000001</v>
      </c>
      <c r="AM94" s="794">
        <f t="shared" si="1465" ref="AM94">AM93*AM$4/1000</f>
        <v>0</v>
      </c>
    </row>
    <row r="95" spans="1:42" ht="14.5">
      <c r="A95" s="918">
        <v>42461</v>
      </c>
      <c r="B95" s="788"/>
      <c r="C95" s="789">
        <f t="shared" si="1037"/>
        <v>4595</v>
      </c>
      <c r="D95" s="789">
        <v>4595</v>
      </c>
      <c r="E95" s="789"/>
      <c r="F95" s="789">
        <v>1836</v>
      </c>
      <c r="G95" s="789">
        <v>14</v>
      </c>
      <c r="H95" s="789"/>
      <c r="I95" s="789">
        <v>170</v>
      </c>
      <c r="J95" s="789">
        <v>31</v>
      </c>
      <c r="K95" s="789">
        <v>63</v>
      </c>
      <c r="L95" s="789"/>
      <c r="M95" s="789"/>
      <c r="N95" s="790"/>
      <c r="O95" s="789">
        <v>28</v>
      </c>
      <c r="P95" s="789"/>
      <c r="Q95" s="789"/>
      <c r="R95" s="789"/>
      <c r="S95" s="789">
        <v>2</v>
      </c>
      <c r="T95" s="789"/>
      <c r="U95" s="789">
        <v>54</v>
      </c>
      <c r="V95" s="789"/>
      <c r="W95" s="789"/>
      <c r="X95" s="789">
        <v>34</v>
      </c>
      <c r="Y95" s="789">
        <v>26</v>
      </c>
      <c r="Z95" s="789"/>
      <c r="AA95" s="789"/>
      <c r="AB95" s="789"/>
      <c r="AC95" s="789"/>
      <c r="AD95" s="789"/>
      <c r="AE95" s="789">
        <v>1</v>
      </c>
      <c r="AF95" s="790"/>
      <c r="AG95" s="791">
        <v>1198</v>
      </c>
      <c r="AH95" s="791">
        <v>164</v>
      </c>
      <c r="AI95" s="791">
        <v>354</v>
      </c>
      <c r="AJ95" s="791"/>
      <c r="AK95" s="791"/>
      <c r="AL95" s="791">
        <v>620</v>
      </c>
      <c r="AO95">
        <f t="shared" si="1035"/>
        <v>2336</v>
      </c>
      <c r="AP95">
        <f t="shared" si="1036"/>
        <v>-446</v>
      </c>
    </row>
    <row r="96" spans="1:39" ht="14.5">
      <c r="A96" s="919"/>
      <c r="B96" s="793"/>
      <c r="C96" s="794">
        <f t="shared" si="1037"/>
        <v>498.66699999999997</v>
      </c>
      <c r="D96" s="794">
        <v>498.68700000000001</v>
      </c>
      <c r="E96" s="794">
        <f>E95*E$4/1000</f>
        <v>0</v>
      </c>
      <c r="F96" s="794">
        <f t="shared" si="1466" ref="F96">F95*F$4/1000</f>
        <v>66.096000000000004</v>
      </c>
      <c r="G96" s="794">
        <f t="shared" si="1467" ref="G96">G95*G$4/1000</f>
        <v>0.71399999999999997</v>
      </c>
      <c r="H96" s="794">
        <f t="shared" si="1468" ref="H96">H95*H$4/1000</f>
        <v>0</v>
      </c>
      <c r="I96" s="794">
        <f t="shared" si="1469" ref="I96">I95*I$4/1000</f>
        <v>12.24</v>
      </c>
      <c r="J96" s="794">
        <f t="shared" si="1470" ref="J96">J95*J$4/1000</f>
        <v>2.3250000000000002</v>
      </c>
      <c r="K96" s="794">
        <f t="shared" si="1471" ref="K96">K95*K$4/1000</f>
        <v>5.7960000000000003</v>
      </c>
      <c r="L96" s="794">
        <f t="shared" si="1472" ref="L96">L95*L$4/1000</f>
        <v>0</v>
      </c>
      <c r="M96" s="794">
        <f t="shared" si="1473" ref="M96">M95*M$4/1000</f>
        <v>0</v>
      </c>
      <c r="N96" s="794">
        <f t="shared" si="1474" ref="N96">N95*N$4/1000</f>
        <v>0</v>
      </c>
      <c r="O96" s="794">
        <f t="shared" si="1475" ref="O96">O95*O$4/1000</f>
        <v>0.83999999999999997</v>
      </c>
      <c r="P96" s="794">
        <f t="shared" si="1476" ref="P96">P95*P$4/1000</f>
        <v>0</v>
      </c>
      <c r="Q96" s="794">
        <f t="shared" si="1477" ref="Q96">Q95*Q$4/1000</f>
        <v>0</v>
      </c>
      <c r="R96" s="794">
        <f t="shared" si="1478" ref="R96">R95*R$4/1000</f>
        <v>0</v>
      </c>
      <c r="S96" s="794">
        <f t="shared" si="1479" ref="S96">S95*S$4/1000</f>
        <v>0.12</v>
      </c>
      <c r="T96" s="794">
        <f t="shared" si="1480" ref="T96">T95*T$4/1000</f>
        <v>0</v>
      </c>
      <c r="U96" s="794">
        <f t="shared" si="1481" ref="U96">U95*U$4/1000</f>
        <v>3.8340000000000001</v>
      </c>
      <c r="V96" s="794">
        <f t="shared" si="1482" ref="V96">V95*V$4/1000</f>
        <v>0</v>
      </c>
      <c r="W96" s="794">
        <f t="shared" si="1483" ref="W96">W95*W$4/1000</f>
        <v>0</v>
      </c>
      <c r="X96" s="794">
        <f t="shared" si="1484" ref="X96">X95*X$4/1000</f>
        <v>2.7200000000000002</v>
      </c>
      <c r="Y96" s="794">
        <f t="shared" si="1485" ref="Y96">Y95*Y$4/1000</f>
        <v>2.4180000000000001</v>
      </c>
      <c r="Z96" s="794">
        <f t="shared" si="1486" ref="Z96">Z95*Z$4/1000</f>
        <v>0</v>
      </c>
      <c r="AA96" s="794">
        <f t="shared" si="1487" ref="AA96">AA95*AA$4/1000</f>
        <v>0</v>
      </c>
      <c r="AB96" s="794">
        <f t="shared" si="1488" ref="AB96">AB95*AB$4/1000</f>
        <v>0</v>
      </c>
      <c r="AC96" s="794">
        <f t="shared" si="1489" ref="AC96">AC95*AC$4/1000</f>
        <v>0</v>
      </c>
      <c r="AD96" s="794">
        <f t="shared" si="1490" ref="AD96">AD95*AD$4/1000</f>
        <v>0</v>
      </c>
      <c r="AE96" s="794">
        <f t="shared" si="1491" ref="AE96">AE95*AE$4/1000</f>
        <v>0.16400000000000001</v>
      </c>
      <c r="AF96" s="790"/>
      <c r="AG96" s="794">
        <f t="shared" si="1492" ref="AG96">AG95*AG$4/1000</f>
        <v>119.8</v>
      </c>
      <c r="AH96" s="794">
        <f t="shared" si="1493" ref="AH96">AH95*AH$4/1000</f>
        <v>22.140000000000001</v>
      </c>
      <c r="AI96" s="794">
        <f t="shared" si="1494" ref="AI96">AI95*AI$4/1000</f>
        <v>67.260000000000005</v>
      </c>
      <c r="AJ96" s="794">
        <f t="shared" si="1495" ref="AJ96">AJ95*AJ$4/1000</f>
        <v>0</v>
      </c>
      <c r="AK96" s="794">
        <f t="shared" si="1496" ref="AK96">AK95*AK$4/1000</f>
        <v>0</v>
      </c>
      <c r="AL96" s="794">
        <f t="shared" si="1497" ref="AL96">AL95*AL$4/1000</f>
        <v>192.19999999999999</v>
      </c>
      <c r="AM96" s="794">
        <f t="shared" si="1498" ref="AM96">AM95*AM$4/1000</f>
        <v>0</v>
      </c>
    </row>
    <row r="97" spans="1:42" ht="14.5">
      <c r="A97" s="918">
        <v>42430</v>
      </c>
      <c r="B97" s="788"/>
      <c r="C97" s="789">
        <f t="shared" si="1037"/>
        <v>4595</v>
      </c>
      <c r="D97" s="789">
        <v>4595</v>
      </c>
      <c r="E97" s="789"/>
      <c r="F97" s="789">
        <v>1436</v>
      </c>
      <c r="G97" s="789">
        <v>14</v>
      </c>
      <c r="H97" s="789"/>
      <c r="I97" s="789">
        <v>136</v>
      </c>
      <c r="J97" s="789">
        <v>31</v>
      </c>
      <c r="K97" s="789">
        <v>51</v>
      </c>
      <c r="L97" s="789"/>
      <c r="M97" s="789"/>
      <c r="N97" s="790"/>
      <c r="O97" s="789">
        <v>28</v>
      </c>
      <c r="P97" s="789"/>
      <c r="Q97" s="789"/>
      <c r="R97" s="789"/>
      <c r="S97" s="789">
        <v>2</v>
      </c>
      <c r="T97" s="789"/>
      <c r="U97" s="789">
        <v>54</v>
      </c>
      <c r="V97" s="789"/>
      <c r="W97" s="789"/>
      <c r="X97" s="789">
        <v>34</v>
      </c>
      <c r="Y97" s="789">
        <v>26</v>
      </c>
      <c r="Z97" s="789"/>
      <c r="AA97" s="789"/>
      <c r="AB97" s="789"/>
      <c r="AC97" s="789"/>
      <c r="AD97" s="789"/>
      <c r="AE97" s="789">
        <v>1</v>
      </c>
      <c r="AF97" s="790"/>
      <c r="AG97" s="791">
        <v>1592</v>
      </c>
      <c r="AH97" s="791">
        <v>170</v>
      </c>
      <c r="AI97" s="791">
        <v>399</v>
      </c>
      <c r="AJ97" s="791"/>
      <c r="AK97" s="791"/>
      <c r="AL97" s="791">
        <v>621</v>
      </c>
      <c r="AO97">
        <f t="shared" si="1035"/>
        <v>2782</v>
      </c>
      <c r="AP97">
        <f t="shared" si="1036"/>
        <v>-245</v>
      </c>
    </row>
    <row r="98" spans="1:39" ht="14.5">
      <c r="A98" s="919"/>
      <c r="B98" s="793"/>
      <c r="C98" s="794">
        <f t="shared" si="1037"/>
        <v>529.78499999999997</v>
      </c>
      <c r="D98" s="794">
        <v>529.80500000000006</v>
      </c>
      <c r="E98" s="794">
        <f>E97*E$4/1000</f>
        <v>0</v>
      </c>
      <c r="F98" s="794">
        <f t="shared" si="1499" ref="F98">F97*F$4/1000</f>
        <v>51.695999999999998</v>
      </c>
      <c r="G98" s="794">
        <f t="shared" si="1500" ref="G98">G97*G$4/1000</f>
        <v>0.71399999999999997</v>
      </c>
      <c r="H98" s="794">
        <f t="shared" si="1501" ref="H98">H97*H$4/1000</f>
        <v>0</v>
      </c>
      <c r="I98" s="794">
        <f t="shared" si="1502" ref="I98">I97*I$4/1000</f>
        <v>9.7919999999999998</v>
      </c>
      <c r="J98" s="794">
        <f t="shared" si="1503" ref="J98">J97*J$4/1000</f>
        <v>2.3250000000000002</v>
      </c>
      <c r="K98" s="794">
        <f t="shared" si="1504" ref="K98">K97*K$4/1000</f>
        <v>4.6920000000000002</v>
      </c>
      <c r="L98" s="794">
        <f t="shared" si="1505" ref="L98">L97*L$4/1000</f>
        <v>0</v>
      </c>
      <c r="M98" s="794">
        <f t="shared" si="1506" ref="M98">M97*M$4/1000</f>
        <v>0</v>
      </c>
      <c r="N98" s="794">
        <f t="shared" si="1507" ref="N98">N97*N$4/1000</f>
        <v>0</v>
      </c>
      <c r="O98" s="794">
        <f t="shared" si="1508" ref="O98">O97*O$4/1000</f>
        <v>0.83999999999999997</v>
      </c>
      <c r="P98" s="794">
        <f t="shared" si="1509" ref="P98">P97*P$4/1000</f>
        <v>0</v>
      </c>
      <c r="Q98" s="794">
        <f t="shared" si="1510" ref="Q98">Q97*Q$4/1000</f>
        <v>0</v>
      </c>
      <c r="R98" s="794">
        <f t="shared" si="1511" ref="R98">R97*R$4/1000</f>
        <v>0</v>
      </c>
      <c r="S98" s="794">
        <f t="shared" si="1512" ref="S98">S97*S$4/1000</f>
        <v>0.12</v>
      </c>
      <c r="T98" s="794">
        <f t="shared" si="1513" ref="T98">T97*T$4/1000</f>
        <v>0</v>
      </c>
      <c r="U98" s="794">
        <f t="shared" si="1514" ref="U98">U97*U$4/1000</f>
        <v>3.8340000000000001</v>
      </c>
      <c r="V98" s="794">
        <f t="shared" si="1515" ref="V98">V97*V$4/1000</f>
        <v>0</v>
      </c>
      <c r="W98" s="794">
        <f t="shared" si="1516" ref="W98">W97*W$4/1000</f>
        <v>0</v>
      </c>
      <c r="X98" s="794">
        <f t="shared" si="1517" ref="X98">X97*X$4/1000</f>
        <v>2.7200000000000002</v>
      </c>
      <c r="Y98" s="794">
        <f t="shared" si="1518" ref="Y98">Y97*Y$4/1000</f>
        <v>2.4180000000000001</v>
      </c>
      <c r="Z98" s="794">
        <f t="shared" si="1519" ref="Z98">Z97*Z$4/1000</f>
        <v>0</v>
      </c>
      <c r="AA98" s="794">
        <f t="shared" si="1520" ref="AA98">AA97*AA$4/1000</f>
        <v>0</v>
      </c>
      <c r="AB98" s="794">
        <f t="shared" si="1521" ref="AB98">AB97*AB$4/1000</f>
        <v>0</v>
      </c>
      <c r="AC98" s="794">
        <f t="shared" si="1522" ref="AC98">AC97*AC$4/1000</f>
        <v>0</v>
      </c>
      <c r="AD98" s="794">
        <f t="shared" si="1523" ref="AD98">AD97*AD$4/1000</f>
        <v>0</v>
      </c>
      <c r="AE98" s="794">
        <f t="shared" si="1524" ref="AE98">AE97*AE$4/1000</f>
        <v>0.16400000000000001</v>
      </c>
      <c r="AF98" s="790"/>
      <c r="AG98" s="794">
        <f t="shared" si="1525" ref="AG98">AG97*AG$4/1000</f>
        <v>159.19999999999999</v>
      </c>
      <c r="AH98" s="794">
        <f t="shared" si="1526" ref="AH98">AH97*AH$4/1000</f>
        <v>22.949999999999999</v>
      </c>
      <c r="AI98" s="794">
        <f t="shared" si="1527" ref="AI98">AI97*AI$4/1000</f>
        <v>75.810000000000002</v>
      </c>
      <c r="AJ98" s="794">
        <f t="shared" si="1528" ref="AJ98">AJ97*AJ$4/1000</f>
        <v>0</v>
      </c>
      <c r="AK98" s="794">
        <f t="shared" si="1529" ref="AK98">AK97*AK$4/1000</f>
        <v>0</v>
      </c>
      <c r="AL98" s="794">
        <f t="shared" si="1530" ref="AL98">AL97*AL$4/1000</f>
        <v>192.50999999999999</v>
      </c>
      <c r="AM98" s="794">
        <f t="shared" si="1531" ref="AM98">AM97*AM$4/1000</f>
        <v>0</v>
      </c>
    </row>
    <row r="99" spans="1:42" ht="14.5">
      <c r="A99" s="918">
        <v>42401</v>
      </c>
      <c r="B99" s="788"/>
      <c r="C99" s="789">
        <f t="shared" si="1037"/>
        <v>4595</v>
      </c>
      <c r="D99" s="789">
        <v>4595</v>
      </c>
      <c r="E99" s="789"/>
      <c r="F99" s="789">
        <v>1217</v>
      </c>
      <c r="G99" s="789">
        <v>14</v>
      </c>
      <c r="H99" s="789"/>
      <c r="I99" s="789">
        <v>136</v>
      </c>
      <c r="J99" s="789">
        <v>31</v>
      </c>
      <c r="K99" s="789">
        <v>25</v>
      </c>
      <c r="L99" s="789"/>
      <c r="M99" s="789"/>
      <c r="N99" s="790"/>
      <c r="O99" s="789">
        <v>28</v>
      </c>
      <c r="P99" s="789"/>
      <c r="Q99" s="789"/>
      <c r="R99" s="789"/>
      <c r="S99" s="789">
        <v>2</v>
      </c>
      <c r="T99" s="789"/>
      <c r="U99" s="789">
        <v>54</v>
      </c>
      <c r="V99" s="789"/>
      <c r="W99" s="789"/>
      <c r="X99" s="789">
        <v>34</v>
      </c>
      <c r="Y99" s="789">
        <v>26</v>
      </c>
      <c r="Z99" s="789"/>
      <c r="AA99" s="789"/>
      <c r="AB99" s="789"/>
      <c r="AC99" s="789"/>
      <c r="AD99" s="789"/>
      <c r="AE99" s="789">
        <v>1</v>
      </c>
      <c r="AF99" s="790"/>
      <c r="AG99" s="791">
        <v>1811</v>
      </c>
      <c r="AH99" s="791">
        <v>170</v>
      </c>
      <c r="AI99" s="791">
        <v>425</v>
      </c>
      <c r="AJ99" s="791"/>
      <c r="AK99" s="791"/>
      <c r="AL99" s="791">
        <v>621</v>
      </c>
      <c r="AO99">
        <f t="shared" si="1035"/>
        <v>3027</v>
      </c>
      <c r="AP99">
        <f t="shared" si="1036"/>
        <v>-347</v>
      </c>
    </row>
    <row r="100" spans="1:39" ht="14.5">
      <c r="A100" s="919"/>
      <c r="B100" s="793"/>
      <c r="C100" s="794">
        <f t="shared" si="1037"/>
        <v>546.34899999999993</v>
      </c>
      <c r="D100" s="794">
        <v>546.36900000000003</v>
      </c>
      <c r="E100" s="794">
        <f>E99*E$4/1000</f>
        <v>0</v>
      </c>
      <c r="F100" s="794">
        <f t="shared" si="1532" ref="F100">F99*F$4/1000</f>
        <v>43.811999999999998</v>
      </c>
      <c r="G100" s="794">
        <f t="shared" si="1533" ref="G100">G99*G$4/1000</f>
        <v>0.71399999999999997</v>
      </c>
      <c r="H100" s="794">
        <f t="shared" si="1534" ref="H100">H99*H$4/1000</f>
        <v>0</v>
      </c>
      <c r="I100" s="794">
        <f t="shared" si="1535" ref="I100">I99*I$4/1000</f>
        <v>9.7919999999999998</v>
      </c>
      <c r="J100" s="794">
        <f t="shared" si="1536" ref="J100">J99*J$4/1000</f>
        <v>2.3250000000000002</v>
      </c>
      <c r="K100" s="794">
        <f t="shared" si="1537" ref="K100">K99*K$4/1000</f>
        <v>2.2999999999999998</v>
      </c>
      <c r="L100" s="794">
        <f t="shared" si="1538" ref="L100">L99*L$4/1000</f>
        <v>0</v>
      </c>
      <c r="M100" s="794">
        <f t="shared" si="1539" ref="M100">M99*M$4/1000</f>
        <v>0</v>
      </c>
      <c r="N100" s="794">
        <f t="shared" si="1540" ref="N100">N99*N$4/1000</f>
        <v>0</v>
      </c>
      <c r="O100" s="794">
        <f t="shared" si="1541" ref="O100">O99*O$4/1000</f>
        <v>0.83999999999999997</v>
      </c>
      <c r="P100" s="794">
        <f t="shared" si="1542" ref="P100">P99*P$4/1000</f>
        <v>0</v>
      </c>
      <c r="Q100" s="794">
        <f t="shared" si="1543" ref="Q100">Q99*Q$4/1000</f>
        <v>0</v>
      </c>
      <c r="R100" s="794">
        <f t="shared" si="1544" ref="R100">R99*R$4/1000</f>
        <v>0</v>
      </c>
      <c r="S100" s="794">
        <f t="shared" si="1545" ref="S100">S99*S$4/1000</f>
        <v>0.12</v>
      </c>
      <c r="T100" s="794">
        <f t="shared" si="1546" ref="T100">T99*T$4/1000</f>
        <v>0</v>
      </c>
      <c r="U100" s="794">
        <f t="shared" si="1547" ref="U100">U99*U$4/1000</f>
        <v>3.8340000000000001</v>
      </c>
      <c r="V100" s="794">
        <f t="shared" si="1548" ref="V100">V99*V$4/1000</f>
        <v>0</v>
      </c>
      <c r="W100" s="794">
        <f t="shared" si="1549" ref="W100">W99*W$4/1000</f>
        <v>0</v>
      </c>
      <c r="X100" s="794">
        <f t="shared" si="1550" ref="X100">X99*X$4/1000</f>
        <v>2.7200000000000002</v>
      </c>
      <c r="Y100" s="794">
        <f t="shared" si="1551" ref="Y100">Y99*Y$4/1000</f>
        <v>2.4180000000000001</v>
      </c>
      <c r="Z100" s="794">
        <f t="shared" si="1552" ref="Z100">Z99*Z$4/1000</f>
        <v>0</v>
      </c>
      <c r="AA100" s="794">
        <f t="shared" si="1553" ref="AA100">AA99*AA$4/1000</f>
        <v>0</v>
      </c>
      <c r="AB100" s="794">
        <f t="shared" si="1554" ref="AB100">AB99*AB$4/1000</f>
        <v>0</v>
      </c>
      <c r="AC100" s="794">
        <f t="shared" si="1555" ref="AC100">AC99*AC$4/1000</f>
        <v>0</v>
      </c>
      <c r="AD100" s="794">
        <f t="shared" si="1556" ref="AD100">AD99*AD$4/1000</f>
        <v>0</v>
      </c>
      <c r="AE100" s="794">
        <f t="shared" si="1557" ref="AE100">AE99*AE$4/1000</f>
        <v>0.16400000000000001</v>
      </c>
      <c r="AF100" s="790"/>
      <c r="AG100" s="794">
        <f t="shared" si="1558" ref="AG100">AG99*AG$4/1000</f>
        <v>181.09999999999999</v>
      </c>
      <c r="AH100" s="794">
        <f t="shared" si="1559" ref="AH100">AH99*AH$4/1000</f>
        <v>22.949999999999999</v>
      </c>
      <c r="AI100" s="794">
        <f t="shared" si="1560" ref="AI100">AI99*AI$4/1000</f>
        <v>80.75</v>
      </c>
      <c r="AJ100" s="794">
        <f t="shared" si="1561" ref="AJ100">AJ99*AJ$4/1000</f>
        <v>0</v>
      </c>
      <c r="AK100" s="794">
        <f t="shared" si="1562" ref="AK100">AK99*AK$4/1000</f>
        <v>0</v>
      </c>
      <c r="AL100" s="794">
        <f t="shared" si="1563" ref="AL100">AL99*AL$4/1000</f>
        <v>192.50999999999999</v>
      </c>
      <c r="AM100" s="794">
        <f t="shared" si="1564" ref="AM100">AM99*AM$4/1000</f>
        <v>0</v>
      </c>
    </row>
    <row r="101" spans="1:42" ht="14.5">
      <c r="A101" s="918">
        <v>42370</v>
      </c>
      <c r="B101" s="788"/>
      <c r="C101" s="789">
        <f t="shared" si="1037"/>
        <v>4595</v>
      </c>
      <c r="D101" s="789">
        <v>4595</v>
      </c>
      <c r="E101" s="789"/>
      <c r="F101" s="789">
        <v>1033</v>
      </c>
      <c r="G101" s="789"/>
      <c r="H101" s="789"/>
      <c r="I101" s="789">
        <v>12</v>
      </c>
      <c r="J101" s="789">
        <v>31</v>
      </c>
      <c r="K101" s="789"/>
      <c r="L101" s="789"/>
      <c r="M101" s="789"/>
      <c r="N101" s="790"/>
      <c r="O101" s="789">
        <v>28</v>
      </c>
      <c r="P101" s="789"/>
      <c r="Q101" s="789"/>
      <c r="R101" s="789"/>
      <c r="S101" s="789">
        <v>2</v>
      </c>
      <c r="T101" s="789"/>
      <c r="U101" s="789">
        <v>54</v>
      </c>
      <c r="V101" s="789"/>
      <c r="W101" s="789"/>
      <c r="X101" s="789">
        <v>34</v>
      </c>
      <c r="Y101" s="789">
        <v>26</v>
      </c>
      <c r="Z101" s="789"/>
      <c r="AA101" s="789"/>
      <c r="AB101" s="789"/>
      <c r="AC101" s="789"/>
      <c r="AD101" s="789"/>
      <c r="AE101" s="789">
        <v>1</v>
      </c>
      <c r="AF101" s="790"/>
      <c r="AG101" s="791">
        <v>1995</v>
      </c>
      <c r="AH101" s="791">
        <v>170</v>
      </c>
      <c r="AI101" s="791">
        <v>524</v>
      </c>
      <c r="AJ101" s="791"/>
      <c r="AK101" s="791"/>
      <c r="AL101" s="791">
        <v>685</v>
      </c>
      <c r="AO101">
        <f t="shared" si="1035"/>
        <v>3374</v>
      </c>
      <c r="AP101">
        <f t="shared" si="1036"/>
        <v>-480</v>
      </c>
    </row>
    <row r="102" spans="1:39" ht="14.5">
      <c r="A102" s="919"/>
      <c r="B102" s="793"/>
      <c r="C102" s="794">
        <f t="shared" si="1037"/>
        <v>584.83299999999997</v>
      </c>
      <c r="D102" s="794">
        <v>584.85299999999995</v>
      </c>
      <c r="E102" s="794">
        <f>E101*E$4/1000</f>
        <v>0</v>
      </c>
      <c r="F102" s="794">
        <f t="shared" si="1565" ref="F102">F101*F$4/1000</f>
        <v>37.188000000000002</v>
      </c>
      <c r="G102" s="794">
        <f t="shared" si="1566" ref="G102">G101*G$4/1000</f>
        <v>0</v>
      </c>
      <c r="H102" s="794">
        <f t="shared" si="1567" ref="H102">H101*H$4/1000</f>
        <v>0</v>
      </c>
      <c r="I102" s="794">
        <f t="shared" si="1568" ref="I102">I101*I$4/1000</f>
        <v>0.86399999999999999</v>
      </c>
      <c r="J102" s="794">
        <f t="shared" si="1569" ref="J102">J101*J$4/1000</f>
        <v>2.3250000000000002</v>
      </c>
      <c r="K102" s="794">
        <f t="shared" si="1570" ref="K102">K101*K$4/1000</f>
        <v>0</v>
      </c>
      <c r="L102" s="794">
        <f t="shared" si="1571" ref="L102">L101*L$4/1000</f>
        <v>0</v>
      </c>
      <c r="M102" s="794">
        <f t="shared" si="1572" ref="M102">M101*M$4/1000</f>
        <v>0</v>
      </c>
      <c r="N102" s="794">
        <f t="shared" si="1573" ref="N102">N101*N$4/1000</f>
        <v>0</v>
      </c>
      <c r="O102" s="794">
        <f t="shared" si="1574" ref="O102">O101*O$4/1000</f>
        <v>0.83999999999999997</v>
      </c>
      <c r="P102" s="794">
        <f t="shared" si="1575" ref="P102">P101*P$4/1000</f>
        <v>0</v>
      </c>
      <c r="Q102" s="794">
        <f t="shared" si="1576" ref="Q102">Q101*Q$4/1000</f>
        <v>0</v>
      </c>
      <c r="R102" s="794">
        <f t="shared" si="1577" ref="R102">R101*R$4/1000</f>
        <v>0</v>
      </c>
      <c r="S102" s="794">
        <f t="shared" si="1578" ref="S102">S101*S$4/1000</f>
        <v>0.12</v>
      </c>
      <c r="T102" s="794">
        <f t="shared" si="1579" ref="T102">T101*T$4/1000</f>
        <v>0</v>
      </c>
      <c r="U102" s="794">
        <f t="shared" si="1580" ref="U102">U101*U$4/1000</f>
        <v>3.8340000000000001</v>
      </c>
      <c r="V102" s="794">
        <f t="shared" si="1581" ref="V102">V101*V$4/1000</f>
        <v>0</v>
      </c>
      <c r="W102" s="794">
        <f t="shared" si="1582" ref="W102">W101*W$4/1000</f>
        <v>0</v>
      </c>
      <c r="X102" s="794">
        <f t="shared" si="1583" ref="X102">X101*X$4/1000</f>
        <v>2.7200000000000002</v>
      </c>
      <c r="Y102" s="794">
        <f t="shared" si="1584" ref="Y102">Y101*Y$4/1000</f>
        <v>2.4180000000000001</v>
      </c>
      <c r="Z102" s="794">
        <f t="shared" si="1585" ref="Z102">Z101*Z$4/1000</f>
        <v>0</v>
      </c>
      <c r="AA102" s="794">
        <f t="shared" si="1586" ref="AA102">AA101*AA$4/1000</f>
        <v>0</v>
      </c>
      <c r="AB102" s="794">
        <f t="shared" si="1587" ref="AB102">AB101*AB$4/1000</f>
        <v>0</v>
      </c>
      <c r="AC102" s="794">
        <f t="shared" si="1588" ref="AC102">AC101*AC$4/1000</f>
        <v>0</v>
      </c>
      <c r="AD102" s="794">
        <f t="shared" si="1589" ref="AD102">AD101*AD$4/1000</f>
        <v>0</v>
      </c>
      <c r="AE102" s="794">
        <f t="shared" si="1590" ref="AE102">AE101*AE$4/1000</f>
        <v>0.16400000000000001</v>
      </c>
      <c r="AF102" s="790"/>
      <c r="AG102" s="794">
        <f t="shared" si="1591" ref="AG102">AG101*AG$4/1000</f>
        <v>199.5</v>
      </c>
      <c r="AH102" s="794">
        <f t="shared" si="1592" ref="AH102">AH101*AH$4/1000</f>
        <v>22.949999999999999</v>
      </c>
      <c r="AI102" s="794">
        <f t="shared" si="1593" ref="AI102">AI101*AI$4/1000</f>
        <v>99.560000000000002</v>
      </c>
      <c r="AJ102" s="794">
        <f t="shared" si="1594" ref="AJ102">AJ101*AJ$4/1000</f>
        <v>0</v>
      </c>
      <c r="AK102" s="794">
        <f t="shared" si="1595" ref="AK102">AK101*AK$4/1000</f>
        <v>0</v>
      </c>
      <c r="AL102" s="794">
        <f t="shared" si="1596" ref="AL102">AL101*AL$4/1000</f>
        <v>212.34999999999999</v>
      </c>
      <c r="AM102" s="794">
        <f t="shared" si="1597" ref="AM102">AM101*AM$4/1000</f>
        <v>0</v>
      </c>
    </row>
    <row r="103" spans="1:42" ht="14.5">
      <c r="A103" s="918">
        <v>42339</v>
      </c>
      <c r="B103" s="788"/>
      <c r="C103" s="789">
        <f t="shared" si="1037"/>
        <v>4595</v>
      </c>
      <c r="D103" s="789">
        <v>4595</v>
      </c>
      <c r="E103" s="789"/>
      <c r="F103" s="789">
        <v>553</v>
      </c>
      <c r="G103" s="789"/>
      <c r="H103" s="789"/>
      <c r="I103" s="789">
        <v>12</v>
      </c>
      <c r="J103" s="789">
        <v>31</v>
      </c>
      <c r="K103" s="789"/>
      <c r="L103" s="789"/>
      <c r="M103" s="789"/>
      <c r="N103" s="790"/>
      <c r="O103" s="789">
        <v>28</v>
      </c>
      <c r="P103" s="789"/>
      <c r="Q103" s="789"/>
      <c r="R103" s="789"/>
      <c r="S103" s="789">
        <v>2</v>
      </c>
      <c r="T103" s="789"/>
      <c r="U103" s="789">
        <v>54</v>
      </c>
      <c r="V103" s="789"/>
      <c r="W103" s="789"/>
      <c r="X103" s="789">
        <v>34</v>
      </c>
      <c r="Y103" s="789">
        <v>26</v>
      </c>
      <c r="Z103" s="789"/>
      <c r="AA103" s="789"/>
      <c r="AB103" s="789"/>
      <c r="AC103" s="789"/>
      <c r="AD103" s="789"/>
      <c r="AE103" s="789">
        <v>1</v>
      </c>
      <c r="AF103" s="790"/>
      <c r="AG103" s="791">
        <v>2427</v>
      </c>
      <c r="AH103" s="791">
        <v>218</v>
      </c>
      <c r="AI103" s="791">
        <v>524</v>
      </c>
      <c r="AJ103" s="791"/>
      <c r="AK103" s="791"/>
      <c r="AL103" s="791">
        <v>685</v>
      </c>
      <c r="AO103">
        <f t="shared" si="1035"/>
        <v>3854</v>
      </c>
      <c r="AP103">
        <f t="shared" si="1036"/>
        <v>-87</v>
      </c>
    </row>
    <row r="104" spans="1:39" ht="14.5">
      <c r="A104" s="919"/>
      <c r="B104" s="793"/>
      <c r="C104" s="794">
        <f t="shared" si="1037"/>
        <v>617.23299999999995</v>
      </c>
      <c r="D104" s="794">
        <v>617.25300000000004</v>
      </c>
      <c r="E104" s="794">
        <f>E103*E$4/1000</f>
        <v>0</v>
      </c>
      <c r="F104" s="794">
        <f t="shared" si="1598" ref="F104">F103*F$4/1000</f>
        <v>19.908000000000001</v>
      </c>
      <c r="G104" s="794">
        <f t="shared" si="1599" ref="G104">G103*G$4/1000</f>
        <v>0</v>
      </c>
      <c r="H104" s="794">
        <f t="shared" si="1600" ref="H104">H103*H$4/1000</f>
        <v>0</v>
      </c>
      <c r="I104" s="794">
        <f t="shared" si="1601" ref="I104">I103*I$4/1000</f>
        <v>0.86399999999999999</v>
      </c>
      <c r="J104" s="794">
        <f t="shared" si="1602" ref="J104">J103*J$4/1000</f>
        <v>2.3250000000000002</v>
      </c>
      <c r="K104" s="794">
        <f t="shared" si="1603" ref="K104">K103*K$4/1000</f>
        <v>0</v>
      </c>
      <c r="L104" s="794">
        <f t="shared" si="1604" ref="L104">L103*L$4/1000</f>
        <v>0</v>
      </c>
      <c r="M104" s="794">
        <f t="shared" si="1605" ref="M104">M103*M$4/1000</f>
        <v>0</v>
      </c>
      <c r="N104" s="794">
        <f t="shared" si="1606" ref="N104">N103*N$4/1000</f>
        <v>0</v>
      </c>
      <c r="O104" s="794">
        <f t="shared" si="1607" ref="O104">O103*O$4/1000</f>
        <v>0.83999999999999997</v>
      </c>
      <c r="P104" s="794">
        <f t="shared" si="1608" ref="P104">P103*P$4/1000</f>
        <v>0</v>
      </c>
      <c r="Q104" s="794">
        <f t="shared" si="1609" ref="Q104">Q103*Q$4/1000</f>
        <v>0</v>
      </c>
      <c r="R104" s="794">
        <f t="shared" si="1610" ref="R104">R103*R$4/1000</f>
        <v>0</v>
      </c>
      <c r="S104" s="794">
        <f t="shared" si="1611" ref="S104">S103*S$4/1000</f>
        <v>0.12</v>
      </c>
      <c r="T104" s="794">
        <f t="shared" si="1612" ref="T104">T103*T$4/1000</f>
        <v>0</v>
      </c>
      <c r="U104" s="794">
        <f t="shared" si="1613" ref="U104">U103*U$4/1000</f>
        <v>3.8340000000000001</v>
      </c>
      <c r="V104" s="794">
        <f t="shared" si="1614" ref="V104">V103*V$4/1000</f>
        <v>0</v>
      </c>
      <c r="W104" s="794">
        <f t="shared" si="1615" ref="W104">W103*W$4/1000</f>
        <v>0</v>
      </c>
      <c r="X104" s="794">
        <f t="shared" si="1616" ref="X104">X103*X$4/1000</f>
        <v>2.7200000000000002</v>
      </c>
      <c r="Y104" s="794">
        <f t="shared" si="1617" ref="Y104">Y103*Y$4/1000</f>
        <v>2.4180000000000001</v>
      </c>
      <c r="Z104" s="794">
        <f t="shared" si="1618" ref="Z104">Z103*Z$4/1000</f>
        <v>0</v>
      </c>
      <c r="AA104" s="794">
        <f t="shared" si="1619" ref="AA104">AA103*AA$4/1000</f>
        <v>0</v>
      </c>
      <c r="AB104" s="794">
        <f t="shared" si="1620" ref="AB104">AB103*AB$4/1000</f>
        <v>0</v>
      </c>
      <c r="AC104" s="794">
        <f t="shared" si="1621" ref="AC104">AC103*AC$4/1000</f>
        <v>0</v>
      </c>
      <c r="AD104" s="794">
        <f t="shared" si="1622" ref="AD104">AD103*AD$4/1000</f>
        <v>0</v>
      </c>
      <c r="AE104" s="794">
        <f t="shared" si="1623" ref="AE104">AE103*AE$4/1000</f>
        <v>0.16400000000000001</v>
      </c>
      <c r="AF104" s="790"/>
      <c r="AG104" s="794">
        <f t="shared" si="1624" ref="AG104">AG103*AG$4/1000</f>
        <v>242.69999999999999</v>
      </c>
      <c r="AH104" s="794">
        <f t="shared" si="1625" ref="AH104">AH103*AH$4/1000</f>
        <v>29.43</v>
      </c>
      <c r="AI104" s="794">
        <f t="shared" si="1626" ref="AI104">AI103*AI$4/1000</f>
        <v>99.560000000000002</v>
      </c>
      <c r="AJ104" s="794">
        <f t="shared" si="1627" ref="AJ104">AJ103*AJ$4/1000</f>
        <v>0</v>
      </c>
      <c r="AK104" s="794">
        <f t="shared" si="1628" ref="AK104">AK103*AK$4/1000</f>
        <v>0</v>
      </c>
      <c r="AL104" s="794">
        <f t="shared" si="1629" ref="AL104">AL103*AL$4/1000</f>
        <v>212.34999999999999</v>
      </c>
      <c r="AM104" s="794">
        <f t="shared" si="1630" ref="AM104">AM103*AM$4/1000</f>
        <v>0</v>
      </c>
    </row>
    <row r="105" spans="1:42" ht="14.5">
      <c r="A105" s="918">
        <v>42309</v>
      </c>
      <c r="B105" s="788"/>
      <c r="C105" s="789">
        <f t="shared" si="1037"/>
        <v>4595</v>
      </c>
      <c r="D105" s="789">
        <v>4595</v>
      </c>
      <c r="E105" s="789"/>
      <c r="F105" s="789">
        <v>478</v>
      </c>
      <c r="G105" s="789"/>
      <c r="H105" s="789"/>
      <c r="I105" s="789"/>
      <c r="J105" s="789">
        <v>31</v>
      </c>
      <c r="K105" s="789"/>
      <c r="L105" s="789"/>
      <c r="M105" s="789"/>
      <c r="N105" s="790"/>
      <c r="O105" s="789">
        <v>28</v>
      </c>
      <c r="P105" s="789"/>
      <c r="Q105" s="789"/>
      <c r="R105" s="789"/>
      <c r="S105" s="789">
        <v>2</v>
      </c>
      <c r="T105" s="789"/>
      <c r="U105" s="789">
        <v>54</v>
      </c>
      <c r="V105" s="789"/>
      <c r="W105" s="789"/>
      <c r="X105" s="789">
        <v>34</v>
      </c>
      <c r="Y105" s="789">
        <v>26</v>
      </c>
      <c r="Z105" s="789"/>
      <c r="AA105" s="789"/>
      <c r="AB105" s="789"/>
      <c r="AC105" s="789"/>
      <c r="AD105" s="789"/>
      <c r="AE105" s="789">
        <v>1</v>
      </c>
      <c r="AF105" s="790"/>
      <c r="AG105" s="791">
        <v>2502</v>
      </c>
      <c r="AH105" s="791">
        <v>218</v>
      </c>
      <c r="AI105" s="791">
        <v>536</v>
      </c>
      <c r="AJ105" s="791"/>
      <c r="AK105" s="791"/>
      <c r="AL105" s="791">
        <v>685</v>
      </c>
      <c r="AO105">
        <f t="shared" si="1035"/>
        <v>3941</v>
      </c>
      <c r="AP105">
        <f t="shared" si="1036"/>
        <v>-415</v>
      </c>
    </row>
    <row r="106" spans="1:39" ht="14.5">
      <c r="A106" s="919"/>
      <c r="B106" s="793"/>
      <c r="C106" s="794">
        <f t="shared" si="1037"/>
        <v>623.44900000000007</v>
      </c>
      <c r="D106" s="794">
        <v>623.46900000000005</v>
      </c>
      <c r="E106" s="794">
        <f>E105*E$4/1000</f>
        <v>0</v>
      </c>
      <c r="F106" s="794">
        <f t="shared" si="1631" ref="F106">F105*F$4/1000</f>
        <v>17.207999999999998</v>
      </c>
      <c r="G106" s="794">
        <f t="shared" si="1632" ref="G106">G105*G$4/1000</f>
        <v>0</v>
      </c>
      <c r="H106" s="794">
        <f t="shared" si="1633" ref="H106">H105*H$4/1000</f>
        <v>0</v>
      </c>
      <c r="I106" s="794">
        <f t="shared" si="1634" ref="I106">I105*I$4/1000</f>
        <v>0</v>
      </c>
      <c r="J106" s="794">
        <f t="shared" si="1635" ref="J106">J105*J$4/1000</f>
        <v>2.3250000000000002</v>
      </c>
      <c r="K106" s="794">
        <f t="shared" si="1636" ref="K106">K105*K$4/1000</f>
        <v>0</v>
      </c>
      <c r="L106" s="794">
        <f t="shared" si="1637" ref="L106">L105*L$4/1000</f>
        <v>0</v>
      </c>
      <c r="M106" s="794">
        <f t="shared" si="1638" ref="M106">M105*M$4/1000</f>
        <v>0</v>
      </c>
      <c r="N106" s="794">
        <f t="shared" si="1639" ref="N106">N105*N$4/1000</f>
        <v>0</v>
      </c>
      <c r="O106" s="794">
        <f t="shared" si="1640" ref="O106">O105*O$4/1000</f>
        <v>0.83999999999999997</v>
      </c>
      <c r="P106" s="794">
        <f t="shared" si="1641" ref="P106">P105*P$4/1000</f>
        <v>0</v>
      </c>
      <c r="Q106" s="794">
        <f t="shared" si="1642" ref="Q106">Q105*Q$4/1000</f>
        <v>0</v>
      </c>
      <c r="R106" s="794">
        <f t="shared" si="1643" ref="R106">R105*R$4/1000</f>
        <v>0</v>
      </c>
      <c r="S106" s="794">
        <f t="shared" si="1644" ref="S106">S105*S$4/1000</f>
        <v>0.12</v>
      </c>
      <c r="T106" s="794">
        <f t="shared" si="1645" ref="T106">T105*T$4/1000</f>
        <v>0</v>
      </c>
      <c r="U106" s="794">
        <f t="shared" si="1646" ref="U106">U105*U$4/1000</f>
        <v>3.8340000000000001</v>
      </c>
      <c r="V106" s="794">
        <f t="shared" si="1647" ref="V106">V105*V$4/1000</f>
        <v>0</v>
      </c>
      <c r="W106" s="794">
        <f t="shared" si="1648" ref="W106">W105*W$4/1000</f>
        <v>0</v>
      </c>
      <c r="X106" s="794">
        <f t="shared" si="1649" ref="X106">X105*X$4/1000</f>
        <v>2.7200000000000002</v>
      </c>
      <c r="Y106" s="794">
        <f t="shared" si="1650" ref="Y106">Y105*Y$4/1000</f>
        <v>2.4180000000000001</v>
      </c>
      <c r="Z106" s="794">
        <f t="shared" si="1651" ref="Z106">Z105*Z$4/1000</f>
        <v>0</v>
      </c>
      <c r="AA106" s="794">
        <f t="shared" si="1652" ref="AA106">AA105*AA$4/1000</f>
        <v>0</v>
      </c>
      <c r="AB106" s="794">
        <f t="shared" si="1653" ref="AB106">AB105*AB$4/1000</f>
        <v>0</v>
      </c>
      <c r="AC106" s="794">
        <f t="shared" si="1654" ref="AC106">AC105*AC$4/1000</f>
        <v>0</v>
      </c>
      <c r="AD106" s="794">
        <f t="shared" si="1655" ref="AD106">AD105*AD$4/1000</f>
        <v>0</v>
      </c>
      <c r="AE106" s="794">
        <f t="shared" si="1656" ref="AE106">AE105*AE$4/1000</f>
        <v>0.16400000000000001</v>
      </c>
      <c r="AF106" s="790"/>
      <c r="AG106" s="794">
        <f t="shared" si="1657" ref="AG106">AG105*AG$4/1000</f>
        <v>250.19999999999999</v>
      </c>
      <c r="AH106" s="794">
        <f t="shared" si="1658" ref="AH106">AH105*AH$4/1000</f>
        <v>29.43</v>
      </c>
      <c r="AI106" s="794">
        <f t="shared" si="1659" ref="AI106">AI105*AI$4/1000</f>
        <v>101.84</v>
      </c>
      <c r="AJ106" s="794">
        <f t="shared" si="1660" ref="AJ106">AJ105*AJ$4/1000</f>
        <v>0</v>
      </c>
      <c r="AK106" s="794">
        <f t="shared" si="1661" ref="AK106">AK105*AK$4/1000</f>
        <v>0</v>
      </c>
      <c r="AL106" s="794">
        <f t="shared" si="1662" ref="AL106">AL105*AL$4/1000</f>
        <v>212.34999999999999</v>
      </c>
      <c r="AM106" s="794">
        <f t="shared" si="1663" ref="AM106">AM105*AM$4/1000</f>
        <v>0</v>
      </c>
    </row>
    <row r="107" spans="1:42" ht="14.5">
      <c r="A107" s="918">
        <v>42278</v>
      </c>
      <c r="B107" s="788"/>
      <c r="C107" s="789">
        <f t="shared" si="1037"/>
        <v>4595</v>
      </c>
      <c r="D107" s="789">
        <v>4595</v>
      </c>
      <c r="E107" s="789"/>
      <c r="F107" s="789">
        <v>63</v>
      </c>
      <c r="G107" s="789"/>
      <c r="H107" s="789"/>
      <c r="I107" s="789"/>
      <c r="J107" s="789">
        <v>31</v>
      </c>
      <c r="K107" s="789"/>
      <c r="L107" s="789"/>
      <c r="M107" s="789"/>
      <c r="N107" s="790"/>
      <c r="O107" s="789">
        <v>28</v>
      </c>
      <c r="P107" s="789"/>
      <c r="Q107" s="789"/>
      <c r="R107" s="789"/>
      <c r="S107" s="789">
        <v>2</v>
      </c>
      <c r="T107" s="789"/>
      <c r="U107" s="789">
        <v>54</v>
      </c>
      <c r="V107" s="789"/>
      <c r="W107" s="789"/>
      <c r="X107" s="789">
        <v>34</v>
      </c>
      <c r="Y107" s="789">
        <v>26</v>
      </c>
      <c r="Z107" s="789"/>
      <c r="AA107" s="789"/>
      <c r="AB107" s="789"/>
      <c r="AC107" s="789"/>
      <c r="AD107" s="789"/>
      <c r="AE107" s="789">
        <v>1</v>
      </c>
      <c r="AF107" s="790"/>
      <c r="AG107" s="791">
        <v>2909</v>
      </c>
      <c r="AH107" s="791">
        <v>225</v>
      </c>
      <c r="AI107" s="791">
        <v>537</v>
      </c>
      <c r="AJ107" s="791"/>
      <c r="AK107" s="791"/>
      <c r="AL107" s="791">
        <v>685</v>
      </c>
      <c r="AO107">
        <f>SUM(AG107:AL107)</f>
        <v>4356</v>
      </c>
      <c r="AP107">
        <f>AO107-AO109</f>
        <v>-63</v>
      </c>
    </row>
    <row r="108" spans="1:39" ht="14.5">
      <c r="A108" s="919"/>
      <c r="B108" s="793"/>
      <c r="C108" s="794">
        <f t="shared" si="1037"/>
        <v>650.34400000000005</v>
      </c>
      <c r="D108" s="794">
        <v>650.36400000000003</v>
      </c>
      <c r="E108" s="794">
        <f>E107*E$4/1000</f>
        <v>0</v>
      </c>
      <c r="F108" s="794">
        <f t="shared" si="1664" ref="F108">F107*F$4/1000</f>
        <v>2.2679999999999998</v>
      </c>
      <c r="G108" s="794">
        <f t="shared" si="1665" ref="G108">G107*G$4/1000</f>
        <v>0</v>
      </c>
      <c r="H108" s="794">
        <f t="shared" si="1666" ref="H108">H107*H$4/1000</f>
        <v>0</v>
      </c>
      <c r="I108" s="794">
        <f t="shared" si="1667" ref="I108">I107*I$4/1000</f>
        <v>0</v>
      </c>
      <c r="J108" s="794">
        <f t="shared" si="1668" ref="J108">J107*J$4/1000</f>
        <v>2.3250000000000002</v>
      </c>
      <c r="K108" s="794">
        <f t="shared" si="1669" ref="K108">K107*K$4/1000</f>
        <v>0</v>
      </c>
      <c r="L108" s="794">
        <f t="shared" si="1670" ref="L108">L107*L$4/1000</f>
        <v>0</v>
      </c>
      <c r="M108" s="794">
        <f t="shared" si="1671" ref="M108">M107*M$4/1000</f>
        <v>0</v>
      </c>
      <c r="N108" s="794">
        <f t="shared" si="1672" ref="N108">N107*N$4/1000</f>
        <v>0</v>
      </c>
      <c r="O108" s="794">
        <f t="shared" si="1673" ref="O108">O107*O$4/1000</f>
        <v>0.83999999999999997</v>
      </c>
      <c r="P108" s="794">
        <f t="shared" si="1674" ref="P108">P107*P$4/1000</f>
        <v>0</v>
      </c>
      <c r="Q108" s="794">
        <f t="shared" si="1675" ref="Q108">Q107*Q$4/1000</f>
        <v>0</v>
      </c>
      <c r="R108" s="794">
        <f t="shared" si="1676" ref="R108">R107*R$4/1000</f>
        <v>0</v>
      </c>
      <c r="S108" s="794">
        <f t="shared" si="1677" ref="S108">S107*S$4/1000</f>
        <v>0.12</v>
      </c>
      <c r="T108" s="794">
        <f t="shared" si="1678" ref="T108">T107*T$4/1000</f>
        <v>0</v>
      </c>
      <c r="U108" s="794">
        <f t="shared" si="1679" ref="U108">U107*U$4/1000</f>
        <v>3.8340000000000001</v>
      </c>
      <c r="V108" s="794">
        <f t="shared" si="1680" ref="V108">V107*V$4/1000</f>
        <v>0</v>
      </c>
      <c r="W108" s="794">
        <f t="shared" si="1681" ref="W108">W107*W$4/1000</f>
        <v>0</v>
      </c>
      <c r="X108" s="794">
        <f t="shared" si="1682" ref="X108">X107*X$4/1000</f>
        <v>2.7200000000000002</v>
      </c>
      <c r="Y108" s="794">
        <f t="shared" si="1683" ref="Y108">Y107*Y$4/1000</f>
        <v>2.4180000000000001</v>
      </c>
      <c r="Z108" s="794">
        <f t="shared" si="1684" ref="Z108">Z107*Z$4/1000</f>
        <v>0</v>
      </c>
      <c r="AA108" s="794">
        <f t="shared" si="1685" ref="AA108">AA107*AA$4/1000</f>
        <v>0</v>
      </c>
      <c r="AB108" s="794">
        <f t="shared" si="1686" ref="AB108">AB107*AB$4/1000</f>
        <v>0</v>
      </c>
      <c r="AC108" s="794">
        <f t="shared" si="1687" ref="AC108">AC107*AC$4/1000</f>
        <v>0</v>
      </c>
      <c r="AD108" s="794">
        <f t="shared" si="1688" ref="AD108">AD107*AD$4/1000</f>
        <v>0</v>
      </c>
      <c r="AE108" s="794">
        <f t="shared" si="1689" ref="AE108">AE107*AE$4/1000</f>
        <v>0.16400000000000001</v>
      </c>
      <c r="AF108" s="790"/>
      <c r="AG108" s="794">
        <f t="shared" si="1690" ref="AG108">AG107*AG$4/1000</f>
        <v>290.89999999999998</v>
      </c>
      <c r="AH108" s="794">
        <f t="shared" si="1691" ref="AH108">AH107*AH$4/1000</f>
        <v>30.375</v>
      </c>
      <c r="AI108" s="794">
        <f t="shared" si="1692" ref="AI108">AI107*AI$4/1000</f>
        <v>102.03</v>
      </c>
      <c r="AJ108" s="794">
        <f t="shared" si="1693" ref="AJ108">AJ107*AJ$4/1000</f>
        <v>0</v>
      </c>
      <c r="AK108" s="794">
        <f t="shared" si="1694" ref="AK108">AK107*AK$4/1000</f>
        <v>0</v>
      </c>
      <c r="AL108" s="794">
        <f t="shared" si="1695" ref="AL108">AL107*AL$4/1000</f>
        <v>212.34999999999999</v>
      </c>
      <c r="AM108" s="794">
        <f t="shared" si="1696" ref="AM108">AM107*AM$4/1000</f>
        <v>0</v>
      </c>
    </row>
    <row r="109" spans="1:41" ht="14.5">
      <c r="A109" s="918">
        <v>42248</v>
      </c>
      <c r="B109" s="788"/>
      <c r="C109" s="789">
        <f t="shared" si="1037"/>
        <v>4595</v>
      </c>
      <c r="D109" s="789">
        <v>4595</v>
      </c>
      <c r="E109" s="789"/>
      <c r="F109" s="789"/>
      <c r="G109" s="789"/>
      <c r="H109" s="789"/>
      <c r="I109" s="789"/>
      <c r="J109" s="789">
        <v>31</v>
      </c>
      <c r="K109" s="789"/>
      <c r="L109" s="789"/>
      <c r="M109" s="789"/>
      <c r="N109" s="790"/>
      <c r="O109" s="789">
        <v>28</v>
      </c>
      <c r="P109" s="789"/>
      <c r="Q109" s="789"/>
      <c r="R109" s="789"/>
      <c r="S109" s="789">
        <v>2</v>
      </c>
      <c r="T109" s="789"/>
      <c r="U109" s="789">
        <v>54</v>
      </c>
      <c r="V109" s="789"/>
      <c r="W109" s="789"/>
      <c r="X109" s="789">
        <v>34</v>
      </c>
      <c r="Y109" s="789">
        <v>26</v>
      </c>
      <c r="Z109" s="789"/>
      <c r="AA109" s="789"/>
      <c r="AB109" s="789"/>
      <c r="AC109" s="789"/>
      <c r="AD109" s="789"/>
      <c r="AE109" s="789">
        <v>1</v>
      </c>
      <c r="AF109" s="790"/>
      <c r="AG109" s="791">
        <v>2972</v>
      </c>
      <c r="AH109" s="791">
        <v>225</v>
      </c>
      <c r="AI109" s="791">
        <v>537</v>
      </c>
      <c r="AJ109" s="791"/>
      <c r="AK109" s="791"/>
      <c r="AL109" s="791">
        <v>685</v>
      </c>
      <c r="AO109">
        <f t="shared" si="1035"/>
        <v>4419</v>
      </c>
    </row>
    <row r="110" spans="1:39" ht="14.5">
      <c r="A110" s="919"/>
      <c r="B110" s="793"/>
      <c r="C110" s="794">
        <f t="shared" si="1037"/>
        <v>654.37599999999998</v>
      </c>
      <c r="D110" s="794">
        <v>654.39599999999996</v>
      </c>
      <c r="E110" s="794">
        <f>E109*E$4/1000</f>
        <v>0</v>
      </c>
      <c r="F110" s="794">
        <f t="shared" si="1697" ref="F110">F109*F$4/1000</f>
        <v>0</v>
      </c>
      <c r="G110" s="794">
        <f t="shared" si="1698" ref="G110">G109*G$4/1000</f>
        <v>0</v>
      </c>
      <c r="H110" s="794">
        <f t="shared" si="1699" ref="H110">H109*H$4/1000</f>
        <v>0</v>
      </c>
      <c r="I110" s="794">
        <f t="shared" si="1700" ref="I110">I109*I$4/1000</f>
        <v>0</v>
      </c>
      <c r="J110" s="794">
        <f t="shared" si="1701" ref="J110">J109*J$4/1000</f>
        <v>2.3250000000000002</v>
      </c>
      <c r="K110" s="794">
        <f t="shared" si="1702" ref="K110">K109*K$4/1000</f>
        <v>0</v>
      </c>
      <c r="L110" s="794">
        <f t="shared" si="1703" ref="L110">L109*L$4/1000</f>
        <v>0</v>
      </c>
      <c r="M110" s="794">
        <f t="shared" si="1704" ref="M110">M109*M$4/1000</f>
        <v>0</v>
      </c>
      <c r="N110" s="794">
        <f t="shared" si="1705" ref="N110">N109*N$4/1000</f>
        <v>0</v>
      </c>
      <c r="O110" s="794">
        <f t="shared" si="1706" ref="O110">O109*O$4/1000</f>
        <v>0.83999999999999997</v>
      </c>
      <c r="P110" s="794">
        <f t="shared" si="1707" ref="P110">P109*P$4/1000</f>
        <v>0</v>
      </c>
      <c r="Q110" s="794">
        <f t="shared" si="1708" ref="Q110">Q109*Q$4/1000</f>
        <v>0</v>
      </c>
      <c r="R110" s="794">
        <f t="shared" si="1709" ref="R110">R109*R$4/1000</f>
        <v>0</v>
      </c>
      <c r="S110" s="794">
        <f t="shared" si="1710" ref="S110">S109*S$4/1000</f>
        <v>0.12</v>
      </c>
      <c r="T110" s="794">
        <f t="shared" si="1711" ref="T110">T109*T$4/1000</f>
        <v>0</v>
      </c>
      <c r="U110" s="794">
        <f t="shared" si="1712" ref="U110">U109*U$4/1000</f>
        <v>3.8340000000000001</v>
      </c>
      <c r="V110" s="794">
        <f t="shared" si="1713" ref="V110">V109*V$4/1000</f>
        <v>0</v>
      </c>
      <c r="W110" s="794">
        <f t="shared" si="1714" ref="W110">W109*W$4/1000</f>
        <v>0</v>
      </c>
      <c r="X110" s="794">
        <f t="shared" si="1715" ref="X110">X109*X$4/1000</f>
        <v>2.7200000000000002</v>
      </c>
      <c r="Y110" s="794">
        <f t="shared" si="1716" ref="Y110">Y109*Y$4/1000</f>
        <v>2.4180000000000001</v>
      </c>
      <c r="Z110" s="794">
        <f t="shared" si="1717" ref="Z110">Z109*Z$4/1000</f>
        <v>0</v>
      </c>
      <c r="AA110" s="794">
        <f t="shared" si="1718" ref="AA110">AA109*AA$4/1000</f>
        <v>0</v>
      </c>
      <c r="AB110" s="794">
        <f t="shared" si="1719" ref="AB110">AB109*AB$4/1000</f>
        <v>0</v>
      </c>
      <c r="AC110" s="794">
        <f t="shared" si="1720" ref="AC110">AC109*AC$4/1000</f>
        <v>0</v>
      </c>
      <c r="AD110" s="794">
        <f t="shared" si="1721" ref="AD110">AD109*AD$4/1000</f>
        <v>0</v>
      </c>
      <c r="AE110" s="794">
        <f t="shared" si="1722" ref="AE110">AE109*AE$4/1000</f>
        <v>0.16400000000000001</v>
      </c>
      <c r="AF110" s="790"/>
      <c r="AG110" s="794">
        <f t="shared" si="1723" ref="AG110">AG109*AG$4/1000</f>
        <v>297.19999999999999</v>
      </c>
      <c r="AH110" s="794">
        <f t="shared" si="1724" ref="AH110">AH109*AH$4/1000</f>
        <v>30.375</v>
      </c>
      <c r="AI110" s="794">
        <f t="shared" si="1725" ref="AI110">AI109*AI$4/1000</f>
        <v>102.03</v>
      </c>
      <c r="AJ110" s="794">
        <f t="shared" si="1726" ref="AJ110">AJ109*AJ$4/1000</f>
        <v>0</v>
      </c>
      <c r="AK110" s="794">
        <f t="shared" si="1727" ref="AK110">AK109*AK$4/1000</f>
        <v>0</v>
      </c>
      <c r="AL110" s="794">
        <f t="shared" si="1728" ref="AL110">AL109*AL$4/1000</f>
        <v>212.34999999999999</v>
      </c>
      <c r="AM110" s="794">
        <f t="shared" si="1729" ref="AM110">AM109*AM$4/1000</f>
        <v>0</v>
      </c>
    </row>
    <row r="111" spans="3:3" ht="14.5">
      <c r="C111" t="s">
        <v>810</v>
      </c>
    </row>
    <row r="112" spans="4:24" ht="15.5">
      <c r="D112" s="795"/>
      <c r="E112" s="795"/>
      <c r="F112" s="795"/>
      <c r="G112" s="795"/>
      <c r="H112" s="795"/>
      <c r="I112" s="795"/>
      <c r="J112" s="795"/>
      <c r="K112" s="795"/>
      <c r="L112" s="795"/>
      <c r="M112" s="795"/>
      <c r="N112" s="795"/>
      <c r="O112" s="795"/>
      <c r="P112" s="795"/>
      <c r="Q112" s="795"/>
      <c r="R112" s="795"/>
      <c r="S112" s="795"/>
      <c r="T112" s="795"/>
      <c r="U112" s="795"/>
      <c r="V112" s="795"/>
      <c r="W112" s="795"/>
      <c r="X112" s="795"/>
    </row>
    <row r="113" spans="4:38" ht="15.5">
      <c r="D113" s="795"/>
      <c r="E113" s="795"/>
      <c r="F113" s="795"/>
      <c r="G113" s="795"/>
      <c r="H113" s="795"/>
      <c r="I113" s="795"/>
      <c r="J113" s="795"/>
      <c r="K113" s="795"/>
      <c r="L113" s="795"/>
      <c r="M113" s="795"/>
      <c r="O113" s="795"/>
      <c r="S113" s="795"/>
      <c r="U113" s="795"/>
      <c r="X113" s="795"/>
      <c r="Y113" s="795"/>
      <c r="AE113" s="795"/>
      <c r="AG113" s="795"/>
      <c r="AH113" s="795"/>
      <c r="AI113" s="795"/>
      <c r="AL113" s="795"/>
    </row>
    <row r="114" spans="1:1" ht="14.5">
      <c r="A114" s="798"/>
    </row>
    <row r="115" spans="1:1" ht="14.5">
      <c r="A115" s="798"/>
    </row>
    <row r="116" spans="1:1" ht="14.5">
      <c r="A116" s="798"/>
    </row>
    <row r="117" spans="1:1" ht="14.5">
      <c r="A117" s="798"/>
    </row>
    <row r="118" spans="1:1" ht="14.5">
      <c r="A118" s="798"/>
    </row>
    <row r="119" spans="1:1" ht="14.5">
      <c r="A119" s="798"/>
    </row>
    <row r="120" spans="1:1" ht="14.5">
      <c r="A120" s="798"/>
    </row>
    <row r="121" spans="1:1" ht="14.5">
      <c r="A121" s="798"/>
    </row>
    <row r="122" spans="1:1" ht="14.5">
      <c r="A122" s="798"/>
    </row>
    <row r="123" spans="1:1" ht="14.5">
      <c r="A123" s="798"/>
    </row>
    <row r="124" spans="1:1" ht="14.5">
      <c r="A124" s="798"/>
    </row>
    <row r="125" spans="1:1" ht="14.5">
      <c r="A125" s="798"/>
    </row>
    <row r="126" spans="1:1" ht="14.5">
      <c r="A126" s="798"/>
    </row>
    <row r="127" spans="1:1" ht="14.5">
      <c r="A127" s="798"/>
    </row>
    <row r="128" spans="1:1" ht="14.5">
      <c r="A128" s="798"/>
    </row>
    <row r="129" spans="1:1" ht="14.5">
      <c r="A129" s="798"/>
    </row>
    <row r="130" spans="1:1" ht="14.5">
      <c r="A130" s="798"/>
    </row>
    <row r="131" spans="1:1" ht="14.5">
      <c r="A131" s="798"/>
    </row>
    <row r="132" spans="1:1" ht="14.5">
      <c r="A132" s="798"/>
    </row>
    <row r="133" spans="1:1" ht="14.5">
      <c r="A133" s="798"/>
    </row>
    <row r="134" spans="1:1" ht="14.5">
      <c r="A134" s="798"/>
    </row>
    <row r="135" spans="1:1" ht="14.5">
      <c r="A135" s="798"/>
    </row>
    <row r="136" spans="1:1" ht="14.5">
      <c r="A136" s="798"/>
    </row>
    <row r="137" spans="1:1" ht="14.5">
      <c r="A137" s="798"/>
    </row>
    <row r="138" spans="1:1" ht="14.5">
      <c r="A138" s="798"/>
    </row>
    <row r="139" spans="1:1" ht="14.5">
      <c r="A139" s="798"/>
    </row>
    <row r="140" spans="1:1" ht="14.5">
      <c r="A140" s="798"/>
    </row>
    <row r="141" spans="1:1" ht="14.5">
      <c r="A141" s="798"/>
    </row>
    <row r="142" spans="1:1" ht="14.5">
      <c r="A142" s="798"/>
    </row>
    <row r="143" spans="1:1" ht="14.5">
      <c r="A143" s="798"/>
    </row>
    <row r="144" spans="1:1" ht="14.5">
      <c r="A144" s="798"/>
    </row>
    <row r="145" spans="1:1" ht="14.5">
      <c r="A145" s="798"/>
    </row>
    <row r="146" spans="1:1" ht="14.5">
      <c r="A146" s="798"/>
    </row>
    <row r="147" spans="1:1" ht="14.5">
      <c r="A147" s="798"/>
    </row>
    <row r="148" spans="1:1" ht="14.5">
      <c r="A148" s="798"/>
    </row>
    <row r="149" spans="1:1" ht="14.5">
      <c r="A149" s="798"/>
    </row>
    <row r="150" spans="1:1" ht="14.5">
      <c r="A150" s="798"/>
    </row>
    <row r="151" spans="1:1" ht="14.5">
      <c r="A151" s="798"/>
    </row>
    <row r="152" spans="1:1" ht="14.5">
      <c r="A152" s="798"/>
    </row>
    <row r="153" spans="1:1" ht="14.5">
      <c r="A153" s="798"/>
    </row>
    <row r="154" spans="1:1" ht="14.5">
      <c r="A154" s="798"/>
    </row>
    <row r="155" spans="1:1" ht="14.5">
      <c r="A155" s="798"/>
    </row>
    <row r="156" spans="1:1" ht="14.5">
      <c r="A156" s="798"/>
    </row>
    <row r="157" spans="1:4" ht="14.5">
      <c r="A157" s="798"/>
      <c r="D157" s="842"/>
    </row>
    <row r="158" spans="1:1" ht="14.5">
      <c r="A158" s="798"/>
    </row>
    <row r="159" spans="1:1" ht="14.5">
      <c r="A159" s="798"/>
    </row>
    <row r="160" spans="1:1" ht="14.5">
      <c r="A160" s="798"/>
    </row>
    <row r="161" spans="1:1" ht="14.5">
      <c r="A161" s="798"/>
    </row>
    <row r="162" spans="1:1" ht="14.5">
      <c r="A162" s="798"/>
    </row>
    <row r="163" spans="1:1" ht="14.5">
      <c r="A163" s="798"/>
    </row>
    <row r="164" spans="1:1" ht="14.5">
      <c r="A164" s="798"/>
    </row>
    <row r="165" spans="1:1" ht="14.5">
      <c r="A165" s="798"/>
    </row>
    <row r="166" spans="1:1" ht="14.5">
      <c r="A166" s="798"/>
    </row>
    <row r="167" spans="2:2" ht="14.5">
      <c r="B167" s="798"/>
    </row>
    <row r="168" spans="2:2" ht="14.5">
      <c r="B168" s="798"/>
    </row>
    <row r="169" spans="2:2" ht="14.5">
      <c r="B169" s="798"/>
    </row>
    <row r="170" spans="2:2" ht="14.5">
      <c r="B170" s="798"/>
    </row>
    <row r="171" spans="2:2" ht="14.5">
      <c r="B171" s="798"/>
    </row>
    <row r="172" spans="2:2" ht="14.5">
      <c r="B172" s="798"/>
    </row>
    <row r="173" spans="2:2" ht="14.5">
      <c r="B173" s="798"/>
    </row>
    <row r="174" spans="2:2" ht="14.5">
      <c r="B174" s="798"/>
    </row>
    <row r="175" spans="2:2" ht="14.5">
      <c r="B175" s="798"/>
    </row>
    <row r="176" spans="2:2" ht="14.5">
      <c r="B176" s="798"/>
    </row>
    <row r="177" spans="2:2" ht="14.5">
      <c r="B177" s="798"/>
    </row>
    <row r="178" spans="2:2" ht="14.5">
      <c r="B178" s="798"/>
    </row>
    <row r="179" spans="2:2" ht="14.5">
      <c r="B179" s="798"/>
    </row>
    <row r="180" spans="2:2" ht="14.5">
      <c r="B180" s="798"/>
    </row>
    <row r="181" spans="2:2" ht="14.5">
      <c r="B181" s="798"/>
    </row>
    <row r="182" spans="2:2" ht="14.5">
      <c r="B182" s="798"/>
    </row>
    <row r="183" spans="2:2" ht="14.5">
      <c r="B183" s="798"/>
    </row>
    <row r="184" spans="2:2" ht="14.5">
      <c r="B184" s="798"/>
    </row>
    <row r="185" spans="2:2" ht="14.5">
      <c r="B185" s="798"/>
    </row>
    <row r="186" spans="2:2" ht="14.5">
      <c r="B186" s="798"/>
    </row>
    <row r="187" spans="2:2" ht="14.5">
      <c r="B187" s="798"/>
    </row>
    <row r="188" spans="2:2" ht="14.5">
      <c r="B188" s="798"/>
    </row>
    <row r="189" spans="2:2" ht="14.5">
      <c r="B189" s="798"/>
    </row>
    <row r="190" spans="2:2" ht="14.5">
      <c r="B190" s="798"/>
    </row>
    <row r="191" spans="2:2" ht="14.5">
      <c r="B191" s="798"/>
    </row>
    <row r="192" spans="2:2" ht="14.5">
      <c r="B192" s="798"/>
    </row>
    <row r="193" spans="2:2" ht="14.5">
      <c r="B193" s="798"/>
    </row>
    <row r="194" spans="2:2" ht="14.5">
      <c r="B194" s="798"/>
    </row>
    <row r="195" spans="2:2" ht="14.5">
      <c r="B195" s="798"/>
    </row>
    <row r="196" spans="2:2" ht="14.5">
      <c r="B196" s="798"/>
    </row>
    <row r="197" spans="2:2" ht="14.5">
      <c r="B197" s="798"/>
    </row>
    <row r="198" spans="2:2" ht="14.5">
      <c r="B198" s="798"/>
    </row>
    <row r="199" spans="2:2" ht="14.5">
      <c r="B199" s="798"/>
    </row>
    <row r="200" spans="2:2" ht="14.5">
      <c r="B200" s="798"/>
    </row>
    <row r="201" spans="2:2" ht="14.5">
      <c r="B201" s="798"/>
    </row>
    <row r="202" spans="2:2" ht="14.5">
      <c r="B202" s="798"/>
    </row>
    <row r="203" spans="2:2" ht="14.5">
      <c r="B203" s="798"/>
    </row>
    <row r="204" spans="2:2" ht="14.5">
      <c r="B204" s="798"/>
    </row>
    <row r="205" spans="2:2" ht="14.5">
      <c r="B205" s="798"/>
    </row>
    <row r="206" spans="2:2" ht="14.5">
      <c r="B206" s="798"/>
    </row>
    <row r="207" spans="2:2" ht="14.5">
      <c r="B207" s="798"/>
    </row>
    <row r="208" spans="2:2" ht="14.5">
      <c r="B208" s="798"/>
    </row>
    <row r="209" spans="2:2" ht="14.5">
      <c r="B209" s="798"/>
    </row>
    <row r="210" spans="2:2" ht="14.5">
      <c r="B210" s="798"/>
    </row>
    <row r="211" spans="2:2" ht="14.5">
      <c r="B211" s="798"/>
    </row>
    <row r="212" spans="2:2" ht="14.5">
      <c r="B212" s="798"/>
    </row>
    <row r="213" spans="2:2" ht="14.5">
      <c r="B213" s="798"/>
    </row>
    <row r="214" spans="2:2" ht="14.5">
      <c r="B214" s="798"/>
    </row>
    <row r="215" spans="2:2" ht="14.5">
      <c r="B215" s="798"/>
    </row>
    <row r="216" spans="2:2" ht="14.5">
      <c r="B216" s="798"/>
    </row>
    <row r="217" spans="2:2" ht="14.5">
      <c r="B217" s="798"/>
    </row>
    <row r="218" spans="2:2" ht="14.5">
      <c r="B218" s="798"/>
    </row>
    <row r="219" spans="2:2" ht="14.5">
      <c r="B219" s="798"/>
    </row>
    <row r="220" spans="2:2" ht="14.5">
      <c r="B220" s="798"/>
    </row>
  </sheetData>
  <mergeCells count="56">
    <mergeCell ref="A9:A10"/>
    <mergeCell ref="D1:F1"/>
    <mergeCell ref="E2:AE2"/>
    <mergeCell ref="AG2:AL2"/>
    <mergeCell ref="A5:A6"/>
    <mergeCell ref="A7:A8"/>
    <mergeCell ref="A33:A34"/>
    <mergeCell ref="A11:A12"/>
    <mergeCell ref="A13:A14"/>
    <mergeCell ref="A15:A16"/>
    <mergeCell ref="A17:A18"/>
    <mergeCell ref="A19:A20"/>
    <mergeCell ref="A21:A22"/>
    <mergeCell ref="A23:A24"/>
    <mergeCell ref="A25:A26"/>
    <mergeCell ref="A27:A28"/>
    <mergeCell ref="A29:A30"/>
    <mergeCell ref="A31:A32"/>
    <mergeCell ref="A57:A58"/>
    <mergeCell ref="A35:A36"/>
    <mergeCell ref="A37:A38"/>
    <mergeCell ref="A39:A40"/>
    <mergeCell ref="A41:A42"/>
    <mergeCell ref="A43:A44"/>
    <mergeCell ref="A45:A46"/>
    <mergeCell ref="A47:A48"/>
    <mergeCell ref="A49:A50"/>
    <mergeCell ref="A51:A52"/>
    <mergeCell ref="A53:A54"/>
    <mergeCell ref="A55:A56"/>
    <mergeCell ref="A81:A82"/>
    <mergeCell ref="A59:A60"/>
    <mergeCell ref="A61:A62"/>
    <mergeCell ref="A63:A64"/>
    <mergeCell ref="A65:A66"/>
    <mergeCell ref="A67:A68"/>
    <mergeCell ref="A69:A70"/>
    <mergeCell ref="A71:A72"/>
    <mergeCell ref="A73:A74"/>
    <mergeCell ref="A75:A76"/>
    <mergeCell ref="A77:A78"/>
    <mergeCell ref="A79:A80"/>
    <mergeCell ref="A93:A94"/>
    <mergeCell ref="A95:A96"/>
    <mergeCell ref="A83:A84"/>
    <mergeCell ref="A85:A86"/>
    <mergeCell ref="A87:A88"/>
    <mergeCell ref="A89:A90"/>
    <mergeCell ref="A91:A92"/>
    <mergeCell ref="A109:A110"/>
    <mergeCell ref="A97:A98"/>
    <mergeCell ref="A99:A100"/>
    <mergeCell ref="A101:A102"/>
    <mergeCell ref="A103:A104"/>
    <mergeCell ref="A105:A106"/>
    <mergeCell ref="A107:A10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157"/>
  <sheetViews>
    <sheetView zoomScale="80" zoomScaleNormal="80" workbookViewId="0" topLeftCell="A1">
      <pane ySplit="16" topLeftCell="A89" activePane="bottomLeft" state="frozen"/>
      <selection pane="topLeft" activeCell="D157" sqref="D157"/>
      <selection pane="bottomLeft" activeCell="D157" sqref="D157"/>
    </sheetView>
  </sheetViews>
  <sheetFormatPr defaultColWidth="9.00428571428571" defaultRowHeight="14.5"/>
  <cols>
    <col min="1" max="1" width="9" style="12"/>
    <col min="2" max="2" width="37" style="686" customWidth="1"/>
    <col min="3" max="3" width="9" style="10"/>
    <col min="4" max="16384" width="9" style="12"/>
  </cols>
  <sheetData>
    <row r="16" spans="2:21" ht="26.25" customHeight="1">
      <c r="B16" s="687" t="s">
        <v>560</v>
      </c>
      <c r="C16" s="849" t="s">
        <v>504</v>
      </c>
      <c r="D16" s="850"/>
      <c r="E16" s="850"/>
      <c r="F16" s="850"/>
      <c r="G16" s="850"/>
      <c r="H16" s="850"/>
      <c r="I16" s="850"/>
      <c r="J16" s="850"/>
      <c r="K16" s="850"/>
      <c r="L16" s="850"/>
      <c r="M16" s="850"/>
      <c r="N16" s="850"/>
      <c r="O16" s="850"/>
      <c r="P16" s="850"/>
      <c r="Q16" s="850"/>
      <c r="R16" s="850"/>
      <c r="S16" s="850"/>
      <c r="T16" s="850"/>
      <c r="U16" s="850"/>
    </row>
    <row r="17" spans="2:21" ht="55.5" customHeight="1">
      <c r="B17" s="688" t="s">
        <v>634</v>
      </c>
      <c r="C17" s="851" t="s">
        <v>727</v>
      </c>
      <c r="D17" s="851"/>
      <c r="E17" s="851"/>
      <c r="F17" s="851"/>
      <c r="G17" s="851"/>
      <c r="H17" s="851"/>
      <c r="I17" s="851"/>
      <c r="J17" s="851"/>
      <c r="K17" s="851"/>
      <c r="L17" s="851"/>
      <c r="M17" s="851"/>
      <c r="N17" s="851"/>
      <c r="O17" s="851"/>
      <c r="P17" s="851"/>
      <c r="Q17" s="851"/>
      <c r="R17" s="851"/>
      <c r="S17" s="851"/>
      <c r="T17" s="851"/>
      <c r="U17" s="852"/>
    </row>
    <row r="18" spans="2:21" ht="15.5">
      <c r="B18" s="689"/>
      <c r="C18" s="690"/>
      <c r="D18" s="691"/>
      <c r="E18" s="691"/>
      <c r="F18" s="691"/>
      <c r="G18" s="691"/>
      <c r="H18" s="691"/>
      <c r="I18" s="691"/>
      <c r="J18" s="691"/>
      <c r="K18" s="691"/>
      <c r="L18" s="691"/>
      <c r="M18" s="691"/>
      <c r="N18" s="691"/>
      <c r="O18" s="691"/>
      <c r="P18" s="691"/>
      <c r="Q18" s="691"/>
      <c r="R18" s="691"/>
      <c r="S18" s="691"/>
      <c r="T18" s="691"/>
      <c r="U18" s="692"/>
    </row>
    <row r="19" spans="2:21" ht="15.5">
      <c r="B19" s="689"/>
      <c r="C19" s="690" t="s">
        <v>638</v>
      </c>
      <c r="D19" s="691"/>
      <c r="E19" s="691"/>
      <c r="F19" s="691"/>
      <c r="G19" s="691"/>
      <c r="H19" s="691"/>
      <c r="I19" s="691"/>
      <c r="J19" s="691"/>
      <c r="K19" s="691"/>
      <c r="L19" s="691"/>
      <c r="M19" s="691"/>
      <c r="N19" s="691"/>
      <c r="O19" s="691"/>
      <c r="P19" s="691"/>
      <c r="Q19" s="691"/>
      <c r="R19" s="691"/>
      <c r="S19" s="691"/>
      <c r="T19" s="691"/>
      <c r="U19" s="692"/>
    </row>
    <row r="20" spans="2:21" ht="15.5">
      <c r="B20" s="689"/>
      <c r="C20" s="690"/>
      <c r="D20" s="691"/>
      <c r="E20" s="691"/>
      <c r="F20" s="691"/>
      <c r="G20" s="691"/>
      <c r="H20" s="691"/>
      <c r="I20" s="691"/>
      <c r="J20" s="691"/>
      <c r="K20" s="691"/>
      <c r="L20" s="691"/>
      <c r="M20" s="691"/>
      <c r="N20" s="691"/>
      <c r="O20" s="691"/>
      <c r="P20" s="691"/>
      <c r="Q20" s="691"/>
      <c r="R20" s="691"/>
      <c r="S20" s="691"/>
      <c r="T20" s="691"/>
      <c r="U20" s="692"/>
    </row>
    <row r="21" spans="2:21" ht="15.5">
      <c r="B21" s="689"/>
      <c r="C21" s="690" t="s">
        <v>635</v>
      </c>
      <c r="D21" s="691"/>
      <c r="E21" s="691"/>
      <c r="F21" s="691"/>
      <c r="G21" s="691"/>
      <c r="H21" s="691"/>
      <c r="I21" s="691"/>
      <c r="J21" s="691"/>
      <c r="K21" s="691"/>
      <c r="L21" s="691"/>
      <c r="M21" s="691"/>
      <c r="N21" s="691"/>
      <c r="O21" s="691"/>
      <c r="P21" s="691"/>
      <c r="Q21" s="691"/>
      <c r="R21" s="691"/>
      <c r="S21" s="691"/>
      <c r="T21" s="691"/>
      <c r="U21" s="692"/>
    </row>
    <row r="22" spans="2:21" ht="15.5">
      <c r="B22" s="689"/>
      <c r="C22" s="690"/>
      <c r="D22" s="691"/>
      <c r="E22" s="691"/>
      <c r="F22" s="691"/>
      <c r="G22" s="691"/>
      <c r="H22" s="691"/>
      <c r="I22" s="691"/>
      <c r="J22" s="691"/>
      <c r="K22" s="691"/>
      <c r="L22" s="691"/>
      <c r="M22" s="691"/>
      <c r="N22" s="691"/>
      <c r="O22" s="691"/>
      <c r="P22" s="691"/>
      <c r="Q22" s="691"/>
      <c r="R22" s="691"/>
      <c r="S22" s="691"/>
      <c r="T22" s="691"/>
      <c r="U22" s="692"/>
    </row>
    <row r="23" spans="2:21" ht="30" customHeight="1">
      <c r="B23" s="689"/>
      <c r="C23" s="848" t="s">
        <v>636</v>
      </c>
      <c r="D23" s="848"/>
      <c r="E23" s="848"/>
      <c r="F23" s="848"/>
      <c r="G23" s="848"/>
      <c r="H23" s="848"/>
      <c r="I23" s="848"/>
      <c r="J23" s="848"/>
      <c r="K23" s="848"/>
      <c r="L23" s="848"/>
      <c r="M23" s="848"/>
      <c r="N23" s="848"/>
      <c r="O23" s="848"/>
      <c r="P23" s="848"/>
      <c r="Q23" s="848"/>
      <c r="R23" s="848"/>
      <c r="S23" s="848"/>
      <c r="T23" s="691"/>
      <c r="U23" s="692"/>
    </row>
    <row r="24" spans="2:21" ht="15.5">
      <c r="B24" s="689"/>
      <c r="C24" s="690"/>
      <c r="D24" s="691"/>
      <c r="E24" s="691"/>
      <c r="F24" s="691"/>
      <c r="G24" s="691"/>
      <c r="H24" s="691"/>
      <c r="I24" s="691"/>
      <c r="J24" s="691"/>
      <c r="K24" s="691"/>
      <c r="L24" s="691"/>
      <c r="M24" s="691"/>
      <c r="N24" s="691"/>
      <c r="O24" s="691"/>
      <c r="P24" s="691"/>
      <c r="Q24" s="691"/>
      <c r="R24" s="691"/>
      <c r="S24" s="691"/>
      <c r="T24" s="691"/>
      <c r="U24" s="692"/>
    </row>
    <row r="25" spans="2:21" ht="15.5">
      <c r="B25" s="689"/>
      <c r="C25" s="690" t="s">
        <v>639</v>
      </c>
      <c r="D25" s="691"/>
      <c r="E25" s="691"/>
      <c r="F25" s="691"/>
      <c r="G25" s="691"/>
      <c r="H25" s="691"/>
      <c r="I25" s="691"/>
      <c r="J25" s="691"/>
      <c r="K25" s="691"/>
      <c r="L25" s="691"/>
      <c r="M25" s="691"/>
      <c r="N25" s="691"/>
      <c r="O25" s="691"/>
      <c r="P25" s="691"/>
      <c r="Q25" s="691"/>
      <c r="R25" s="691"/>
      <c r="S25" s="691"/>
      <c r="T25" s="691"/>
      <c r="U25" s="692"/>
    </row>
    <row r="26" spans="2:21" ht="15.5">
      <c r="B26" s="689"/>
      <c r="C26" s="690"/>
      <c r="D26" s="691"/>
      <c r="E26" s="691"/>
      <c r="F26" s="691"/>
      <c r="G26" s="691"/>
      <c r="H26" s="691"/>
      <c r="I26" s="691"/>
      <c r="J26" s="691"/>
      <c r="K26" s="691"/>
      <c r="L26" s="691"/>
      <c r="M26" s="691"/>
      <c r="N26" s="691"/>
      <c r="O26" s="691"/>
      <c r="P26" s="691"/>
      <c r="Q26" s="691"/>
      <c r="R26" s="691"/>
      <c r="S26" s="691"/>
      <c r="T26" s="691"/>
      <c r="U26" s="692"/>
    </row>
    <row r="27" spans="2:21" ht="31.5" customHeight="1">
      <c r="B27" s="689"/>
      <c r="C27" s="848" t="s">
        <v>637</v>
      </c>
      <c r="D27" s="848"/>
      <c r="E27" s="848"/>
      <c r="F27" s="848"/>
      <c r="G27" s="848"/>
      <c r="H27" s="848"/>
      <c r="I27" s="848"/>
      <c r="J27" s="848"/>
      <c r="K27" s="848"/>
      <c r="L27" s="848"/>
      <c r="M27" s="848"/>
      <c r="N27" s="848"/>
      <c r="O27" s="848"/>
      <c r="P27" s="848"/>
      <c r="Q27" s="848"/>
      <c r="R27" s="848"/>
      <c r="S27" s="848"/>
      <c r="T27" s="848"/>
      <c r="U27" s="853"/>
    </row>
    <row r="28" spans="2:21" ht="15.5">
      <c r="B28" s="689"/>
      <c r="C28" s="690"/>
      <c r="D28" s="691"/>
      <c r="E28" s="691"/>
      <c r="F28" s="691"/>
      <c r="G28" s="691"/>
      <c r="H28" s="691"/>
      <c r="I28" s="691"/>
      <c r="J28" s="691"/>
      <c r="K28" s="691"/>
      <c r="L28" s="691"/>
      <c r="M28" s="691"/>
      <c r="N28" s="691"/>
      <c r="O28" s="691"/>
      <c r="P28" s="691"/>
      <c r="Q28" s="691"/>
      <c r="R28" s="691"/>
      <c r="S28" s="691"/>
      <c r="T28" s="691"/>
      <c r="U28" s="692"/>
    </row>
    <row r="29" spans="2:21" ht="31.5" customHeight="1">
      <c r="B29" s="689"/>
      <c r="C29" s="848" t="s">
        <v>640</v>
      </c>
      <c r="D29" s="848"/>
      <c r="E29" s="848"/>
      <c r="F29" s="848"/>
      <c r="G29" s="848"/>
      <c r="H29" s="848"/>
      <c r="I29" s="848"/>
      <c r="J29" s="848"/>
      <c r="K29" s="848"/>
      <c r="L29" s="848"/>
      <c r="M29" s="848"/>
      <c r="N29" s="848"/>
      <c r="O29" s="848"/>
      <c r="P29" s="848"/>
      <c r="Q29" s="848"/>
      <c r="R29" s="848"/>
      <c r="S29" s="848"/>
      <c r="T29" s="848"/>
      <c r="U29" s="853"/>
    </row>
    <row r="30" spans="2:21" ht="15.5">
      <c r="B30" s="689"/>
      <c r="C30" s="690"/>
      <c r="D30" s="691"/>
      <c r="E30" s="691"/>
      <c r="F30" s="691"/>
      <c r="G30" s="691"/>
      <c r="H30" s="691"/>
      <c r="I30" s="691"/>
      <c r="J30" s="691"/>
      <c r="K30" s="691"/>
      <c r="L30" s="691"/>
      <c r="M30" s="691"/>
      <c r="N30" s="691"/>
      <c r="O30" s="691"/>
      <c r="P30" s="691"/>
      <c r="Q30" s="691"/>
      <c r="R30" s="691"/>
      <c r="S30" s="691"/>
      <c r="T30" s="691"/>
      <c r="U30" s="692"/>
    </row>
    <row r="31" spans="2:21" ht="15.5">
      <c r="B31" s="689"/>
      <c r="C31" s="690" t="s">
        <v>641</v>
      </c>
      <c r="D31" s="691"/>
      <c r="E31" s="691"/>
      <c r="F31" s="691"/>
      <c r="G31" s="691"/>
      <c r="H31" s="691"/>
      <c r="I31" s="691"/>
      <c r="J31" s="691"/>
      <c r="K31" s="691"/>
      <c r="L31" s="691"/>
      <c r="M31" s="691"/>
      <c r="N31" s="691"/>
      <c r="O31" s="691"/>
      <c r="P31" s="691"/>
      <c r="Q31" s="691"/>
      <c r="R31" s="691"/>
      <c r="S31" s="691"/>
      <c r="T31" s="691"/>
      <c r="U31" s="692"/>
    </row>
    <row r="32" spans="2:21" ht="15.5">
      <c r="B32" s="693"/>
      <c r="C32" s="694"/>
      <c r="D32" s="695"/>
      <c r="E32" s="695"/>
      <c r="F32" s="695"/>
      <c r="G32" s="695"/>
      <c r="H32" s="695"/>
      <c r="I32" s="695"/>
      <c r="J32" s="695"/>
      <c r="K32" s="695"/>
      <c r="L32" s="695"/>
      <c r="M32" s="695"/>
      <c r="N32" s="695"/>
      <c r="O32" s="695"/>
      <c r="P32" s="695"/>
      <c r="Q32" s="695"/>
      <c r="R32" s="695"/>
      <c r="S32" s="695"/>
      <c r="T32" s="695"/>
      <c r="U32" s="696"/>
    </row>
    <row r="33" spans="2:21" ht="39" customHeight="1">
      <c r="B33" s="697" t="s">
        <v>642</v>
      </c>
      <c r="C33" s="854" t="s">
        <v>643</v>
      </c>
      <c r="D33" s="854"/>
      <c r="E33" s="854"/>
      <c r="F33" s="854"/>
      <c r="G33" s="854"/>
      <c r="H33" s="854"/>
      <c r="I33" s="854"/>
      <c r="J33" s="854"/>
      <c r="K33" s="854"/>
      <c r="L33" s="854"/>
      <c r="M33" s="854"/>
      <c r="N33" s="854"/>
      <c r="O33" s="854"/>
      <c r="P33" s="854"/>
      <c r="Q33" s="854"/>
      <c r="R33" s="854"/>
      <c r="S33" s="854"/>
      <c r="T33" s="854"/>
      <c r="U33" s="855"/>
    </row>
    <row r="34" spans="2:21" ht="14.5">
      <c r="B34" s="698"/>
      <c r="C34" s="699"/>
      <c r="D34" s="699"/>
      <c r="E34" s="699"/>
      <c r="F34" s="699"/>
      <c r="G34" s="699"/>
      <c r="H34" s="699"/>
      <c r="I34" s="699"/>
      <c r="J34" s="699"/>
      <c r="K34" s="699"/>
      <c r="L34" s="699"/>
      <c r="M34" s="699"/>
      <c r="N34" s="699"/>
      <c r="O34" s="699"/>
      <c r="P34" s="699"/>
      <c r="Q34" s="699"/>
      <c r="R34" s="699"/>
      <c r="S34" s="699"/>
      <c r="T34" s="699"/>
      <c r="U34" s="700"/>
    </row>
    <row r="35" spans="2:21" ht="15.5">
      <c r="B35" s="701" t="s">
        <v>644</v>
      </c>
      <c r="C35" s="702" t="s">
        <v>645</v>
      </c>
      <c r="D35" s="691"/>
      <c r="E35" s="691"/>
      <c r="F35" s="691"/>
      <c r="G35" s="691"/>
      <c r="H35" s="691"/>
      <c r="I35" s="691"/>
      <c r="J35" s="691"/>
      <c r="K35" s="691"/>
      <c r="L35" s="691"/>
      <c r="M35" s="691"/>
      <c r="N35" s="691"/>
      <c r="O35" s="691"/>
      <c r="P35" s="691"/>
      <c r="Q35" s="691"/>
      <c r="R35" s="691"/>
      <c r="S35" s="691"/>
      <c r="T35" s="691"/>
      <c r="U35" s="692"/>
    </row>
    <row r="36" spans="2:21" ht="14.5">
      <c r="B36" s="703"/>
      <c r="C36" s="695"/>
      <c r="D36" s="695"/>
      <c r="E36" s="695"/>
      <c r="F36" s="695"/>
      <c r="G36" s="695"/>
      <c r="H36" s="695"/>
      <c r="I36" s="695"/>
      <c r="J36" s="695"/>
      <c r="K36" s="695"/>
      <c r="L36" s="695"/>
      <c r="M36" s="695"/>
      <c r="N36" s="695"/>
      <c r="O36" s="695"/>
      <c r="P36" s="695"/>
      <c r="Q36" s="695"/>
      <c r="R36" s="695"/>
      <c r="S36" s="695"/>
      <c r="T36" s="695"/>
      <c r="U36" s="696"/>
    </row>
    <row r="37" spans="2:21" ht="34.5" customHeight="1">
      <c r="B37" s="688" t="s">
        <v>646</v>
      </c>
      <c r="C37" s="856" t="s">
        <v>647</v>
      </c>
      <c r="D37" s="856"/>
      <c r="E37" s="856"/>
      <c r="F37" s="856"/>
      <c r="G37" s="856"/>
      <c r="H37" s="856"/>
      <c r="I37" s="856"/>
      <c r="J37" s="856"/>
      <c r="K37" s="856"/>
      <c r="L37" s="856"/>
      <c r="M37" s="856"/>
      <c r="N37" s="856"/>
      <c r="O37" s="856"/>
      <c r="P37" s="856"/>
      <c r="Q37" s="856"/>
      <c r="R37" s="856"/>
      <c r="S37" s="856"/>
      <c r="T37" s="856"/>
      <c r="U37" s="857"/>
    </row>
    <row r="38" spans="2:21" ht="14.5">
      <c r="B38" s="703"/>
      <c r="C38" s="695"/>
      <c r="D38" s="695"/>
      <c r="E38" s="695"/>
      <c r="F38" s="695"/>
      <c r="G38" s="695"/>
      <c r="H38" s="695"/>
      <c r="I38" s="695"/>
      <c r="J38" s="695"/>
      <c r="K38" s="695"/>
      <c r="L38" s="695"/>
      <c r="M38" s="695"/>
      <c r="N38" s="695"/>
      <c r="O38" s="695"/>
      <c r="P38" s="695"/>
      <c r="Q38" s="695"/>
      <c r="R38" s="695"/>
      <c r="S38" s="695"/>
      <c r="T38" s="695"/>
      <c r="U38" s="696"/>
    </row>
    <row r="39" spans="2:21" ht="15.5">
      <c r="B39" s="688" t="s">
        <v>648</v>
      </c>
      <c r="C39" s="704" t="s">
        <v>649</v>
      </c>
      <c r="D39" s="699"/>
      <c r="E39" s="699"/>
      <c r="F39" s="699"/>
      <c r="G39" s="699"/>
      <c r="H39" s="699"/>
      <c r="I39" s="699"/>
      <c r="J39" s="699"/>
      <c r="K39" s="699"/>
      <c r="L39" s="699"/>
      <c r="M39" s="699"/>
      <c r="N39" s="699"/>
      <c r="O39" s="699"/>
      <c r="P39" s="699"/>
      <c r="Q39" s="699"/>
      <c r="R39" s="699"/>
      <c r="S39" s="699"/>
      <c r="T39" s="699"/>
      <c r="U39" s="700"/>
    </row>
    <row r="40" spans="2:21" ht="14.5">
      <c r="B40" s="703"/>
      <c r="C40" s="695"/>
      <c r="D40" s="695"/>
      <c r="E40" s="695"/>
      <c r="F40" s="695"/>
      <c r="G40" s="695"/>
      <c r="H40" s="695"/>
      <c r="I40" s="695"/>
      <c r="J40" s="695"/>
      <c r="K40" s="695"/>
      <c r="L40" s="695"/>
      <c r="M40" s="695"/>
      <c r="N40" s="695"/>
      <c r="O40" s="695"/>
      <c r="P40" s="695"/>
      <c r="Q40" s="695"/>
      <c r="R40" s="695"/>
      <c r="S40" s="695"/>
      <c r="T40" s="695"/>
      <c r="U40" s="696"/>
    </row>
    <row r="41" spans="2:21" ht="38.25" customHeight="1">
      <c r="B41" s="697" t="s">
        <v>650</v>
      </c>
      <c r="C41" s="858" t="s">
        <v>651</v>
      </c>
      <c r="D41" s="858"/>
      <c r="E41" s="858"/>
      <c r="F41" s="858"/>
      <c r="G41" s="858"/>
      <c r="H41" s="858"/>
      <c r="I41" s="858"/>
      <c r="J41" s="858"/>
      <c r="K41" s="858"/>
      <c r="L41" s="858"/>
      <c r="M41" s="858"/>
      <c r="N41" s="858"/>
      <c r="O41" s="858"/>
      <c r="P41" s="858"/>
      <c r="Q41" s="858"/>
      <c r="R41" s="858"/>
      <c r="S41" s="858"/>
      <c r="T41" s="858"/>
      <c r="U41" s="859"/>
    </row>
    <row r="42" spans="2:21" ht="14.5">
      <c r="B42" s="705"/>
      <c r="C42" s="699"/>
      <c r="D42" s="699"/>
      <c r="E42" s="699"/>
      <c r="F42" s="699"/>
      <c r="G42" s="699"/>
      <c r="H42" s="699"/>
      <c r="I42" s="699"/>
      <c r="J42" s="699"/>
      <c r="K42" s="699"/>
      <c r="L42" s="699"/>
      <c r="M42" s="699"/>
      <c r="N42" s="699"/>
      <c r="O42" s="699"/>
      <c r="P42" s="699"/>
      <c r="Q42" s="699"/>
      <c r="R42" s="699"/>
      <c r="S42" s="699"/>
      <c r="T42" s="699"/>
      <c r="U42" s="700"/>
    </row>
    <row r="43" spans="2:21" ht="15.5">
      <c r="B43" s="701" t="s">
        <v>652</v>
      </c>
      <c r="C43" s="702" t="s">
        <v>653</v>
      </c>
      <c r="D43" s="691"/>
      <c r="E43" s="691"/>
      <c r="F43" s="691"/>
      <c r="G43" s="691"/>
      <c r="H43" s="691"/>
      <c r="I43" s="691"/>
      <c r="J43" s="691"/>
      <c r="K43" s="691"/>
      <c r="L43" s="691"/>
      <c r="M43" s="691"/>
      <c r="N43" s="691"/>
      <c r="O43" s="691"/>
      <c r="P43" s="691"/>
      <c r="Q43" s="691"/>
      <c r="R43" s="691"/>
      <c r="S43" s="691"/>
      <c r="T43" s="691"/>
      <c r="U43" s="692"/>
    </row>
    <row r="44" spans="2:21" ht="14.5">
      <c r="B44" s="706"/>
      <c r="C44" s="691"/>
      <c r="D44" s="691"/>
      <c r="E44" s="691"/>
      <c r="F44" s="691"/>
      <c r="G44" s="691"/>
      <c r="H44" s="691"/>
      <c r="I44" s="691"/>
      <c r="J44" s="691"/>
      <c r="K44" s="691"/>
      <c r="L44" s="691"/>
      <c r="M44" s="691"/>
      <c r="N44" s="691"/>
      <c r="O44" s="691"/>
      <c r="P44" s="691"/>
      <c r="Q44" s="691"/>
      <c r="R44" s="691"/>
      <c r="S44" s="691"/>
      <c r="T44" s="691"/>
      <c r="U44" s="692"/>
    </row>
    <row r="45" spans="2:21" ht="36" customHeight="1">
      <c r="B45" s="706"/>
      <c r="C45" s="846" t="s">
        <v>669</v>
      </c>
      <c r="D45" s="846"/>
      <c r="E45" s="846"/>
      <c r="F45" s="846"/>
      <c r="G45" s="846"/>
      <c r="H45" s="846"/>
      <c r="I45" s="846"/>
      <c r="J45" s="846"/>
      <c r="K45" s="846"/>
      <c r="L45" s="846"/>
      <c r="M45" s="846"/>
      <c r="N45" s="846"/>
      <c r="O45" s="846"/>
      <c r="P45" s="846"/>
      <c r="Q45" s="846"/>
      <c r="R45" s="846"/>
      <c r="S45" s="846"/>
      <c r="T45" s="846"/>
      <c r="U45" s="847"/>
    </row>
    <row r="46" spans="2:21" ht="14.5">
      <c r="B46" s="706"/>
      <c r="C46" s="707"/>
      <c r="D46" s="691"/>
      <c r="E46" s="691"/>
      <c r="F46" s="691"/>
      <c r="G46" s="691"/>
      <c r="H46" s="691"/>
      <c r="I46" s="691"/>
      <c r="J46" s="691"/>
      <c r="K46" s="691"/>
      <c r="L46" s="691"/>
      <c r="M46" s="691"/>
      <c r="N46" s="691"/>
      <c r="O46" s="691"/>
      <c r="P46" s="691"/>
      <c r="Q46" s="691"/>
      <c r="R46" s="691"/>
      <c r="S46" s="691"/>
      <c r="T46" s="691"/>
      <c r="U46" s="692"/>
    </row>
    <row r="47" spans="2:21" ht="35.25" customHeight="1">
      <c r="B47" s="706"/>
      <c r="C47" s="846" t="s">
        <v>654</v>
      </c>
      <c r="D47" s="846"/>
      <c r="E47" s="846"/>
      <c r="F47" s="846"/>
      <c r="G47" s="846"/>
      <c r="H47" s="846"/>
      <c r="I47" s="846"/>
      <c r="J47" s="846"/>
      <c r="K47" s="846"/>
      <c r="L47" s="846"/>
      <c r="M47" s="846"/>
      <c r="N47" s="846"/>
      <c r="O47" s="846"/>
      <c r="P47" s="846"/>
      <c r="Q47" s="846"/>
      <c r="R47" s="846"/>
      <c r="S47" s="846"/>
      <c r="T47" s="846"/>
      <c r="U47" s="847"/>
    </row>
    <row r="48" spans="2:21" ht="14.5">
      <c r="B48" s="706"/>
      <c r="C48" s="707"/>
      <c r="D48" s="691"/>
      <c r="E48" s="691"/>
      <c r="F48" s="691"/>
      <c r="G48" s="691"/>
      <c r="H48" s="691"/>
      <c r="I48" s="691"/>
      <c r="J48" s="691"/>
      <c r="K48" s="691"/>
      <c r="L48" s="691"/>
      <c r="M48" s="691"/>
      <c r="N48" s="691"/>
      <c r="O48" s="691"/>
      <c r="P48" s="691"/>
      <c r="Q48" s="691"/>
      <c r="R48" s="691"/>
      <c r="S48" s="691"/>
      <c r="T48" s="691"/>
      <c r="U48" s="692"/>
    </row>
    <row r="49" spans="2:21" ht="40.5" customHeight="1">
      <c r="B49" s="706"/>
      <c r="C49" s="846" t="s">
        <v>655</v>
      </c>
      <c r="D49" s="846"/>
      <c r="E49" s="846"/>
      <c r="F49" s="846"/>
      <c r="G49" s="846"/>
      <c r="H49" s="846"/>
      <c r="I49" s="846"/>
      <c r="J49" s="846"/>
      <c r="K49" s="846"/>
      <c r="L49" s="846"/>
      <c r="M49" s="846"/>
      <c r="N49" s="846"/>
      <c r="O49" s="846"/>
      <c r="P49" s="846"/>
      <c r="Q49" s="846"/>
      <c r="R49" s="846"/>
      <c r="S49" s="846"/>
      <c r="T49" s="846"/>
      <c r="U49" s="847"/>
    </row>
    <row r="50" spans="2:21" ht="14.5">
      <c r="B50" s="706"/>
      <c r="C50" s="707"/>
      <c r="D50" s="691"/>
      <c r="E50" s="691"/>
      <c r="F50" s="691"/>
      <c r="G50" s="691"/>
      <c r="H50" s="691"/>
      <c r="I50" s="691"/>
      <c r="J50" s="691"/>
      <c r="K50" s="691"/>
      <c r="L50" s="691"/>
      <c r="M50" s="691"/>
      <c r="N50" s="691"/>
      <c r="O50" s="691"/>
      <c r="P50" s="691"/>
      <c r="Q50" s="691"/>
      <c r="R50" s="691"/>
      <c r="S50" s="691"/>
      <c r="T50" s="691"/>
      <c r="U50" s="692"/>
    </row>
    <row r="51" spans="2:21" ht="30" customHeight="1">
      <c r="B51" s="706"/>
      <c r="C51" s="846" t="s">
        <v>656</v>
      </c>
      <c r="D51" s="846"/>
      <c r="E51" s="846"/>
      <c r="F51" s="846"/>
      <c r="G51" s="846"/>
      <c r="H51" s="846"/>
      <c r="I51" s="846"/>
      <c r="J51" s="846"/>
      <c r="K51" s="846"/>
      <c r="L51" s="846"/>
      <c r="M51" s="846"/>
      <c r="N51" s="846"/>
      <c r="O51" s="846"/>
      <c r="P51" s="846"/>
      <c r="Q51" s="846"/>
      <c r="R51" s="846"/>
      <c r="S51" s="846"/>
      <c r="T51" s="846"/>
      <c r="U51" s="847"/>
    </row>
    <row r="52" spans="2:21" ht="15.5">
      <c r="B52" s="706"/>
      <c r="C52" s="690"/>
      <c r="D52" s="691"/>
      <c r="E52" s="691"/>
      <c r="F52" s="691"/>
      <c r="G52" s="691"/>
      <c r="H52" s="691"/>
      <c r="I52" s="691"/>
      <c r="J52" s="691"/>
      <c r="K52" s="691"/>
      <c r="L52" s="691"/>
      <c r="M52" s="691"/>
      <c r="N52" s="691"/>
      <c r="O52" s="691"/>
      <c r="P52" s="691"/>
      <c r="Q52" s="691"/>
      <c r="R52" s="691"/>
      <c r="S52" s="691"/>
      <c r="T52" s="691"/>
      <c r="U52" s="692"/>
    </row>
    <row r="53" spans="2:21" ht="31.5" customHeight="1">
      <c r="B53" s="706"/>
      <c r="C53" s="848" t="s">
        <v>668</v>
      </c>
      <c r="D53" s="848"/>
      <c r="E53" s="848"/>
      <c r="F53" s="848"/>
      <c r="G53" s="848"/>
      <c r="H53" s="848"/>
      <c r="I53" s="848"/>
      <c r="J53" s="848"/>
      <c r="K53" s="848"/>
      <c r="L53" s="848"/>
      <c r="M53" s="848"/>
      <c r="N53" s="848"/>
      <c r="O53" s="848"/>
      <c r="P53" s="848"/>
      <c r="Q53" s="848"/>
      <c r="R53" s="848"/>
      <c r="S53" s="848"/>
      <c r="T53" s="848"/>
      <c r="U53" s="853"/>
    </row>
    <row r="54" spans="2:21" ht="14.5">
      <c r="B54" s="703"/>
      <c r="C54" s="695"/>
      <c r="D54" s="695"/>
      <c r="E54" s="695"/>
      <c r="F54" s="695"/>
      <c r="G54" s="695"/>
      <c r="H54" s="695"/>
      <c r="I54" s="695"/>
      <c r="J54" s="695"/>
      <c r="K54" s="695"/>
      <c r="L54" s="695"/>
      <c r="M54" s="695"/>
      <c r="N54" s="695"/>
      <c r="O54" s="695"/>
      <c r="P54" s="695"/>
      <c r="Q54" s="695"/>
      <c r="R54" s="695"/>
      <c r="S54" s="695"/>
      <c r="T54" s="695"/>
      <c r="U54" s="696"/>
    </row>
    <row r="55" spans="2:21" ht="48" customHeight="1">
      <c r="B55" s="688" t="s">
        <v>657</v>
      </c>
      <c r="C55" s="856" t="s">
        <v>658</v>
      </c>
      <c r="D55" s="856"/>
      <c r="E55" s="856"/>
      <c r="F55" s="856"/>
      <c r="G55" s="856"/>
      <c r="H55" s="856"/>
      <c r="I55" s="856"/>
      <c r="J55" s="856"/>
      <c r="K55" s="856"/>
      <c r="L55" s="856"/>
      <c r="M55" s="856"/>
      <c r="N55" s="856"/>
      <c r="O55" s="856"/>
      <c r="P55" s="856"/>
      <c r="Q55" s="856"/>
      <c r="R55" s="856"/>
      <c r="S55" s="856"/>
      <c r="T55" s="856"/>
      <c r="U55" s="857"/>
    </row>
    <row r="56" spans="2:21" ht="14.5">
      <c r="B56" s="703"/>
      <c r="C56" s="695"/>
      <c r="D56" s="695"/>
      <c r="E56" s="695"/>
      <c r="F56" s="695"/>
      <c r="G56" s="695"/>
      <c r="H56" s="695"/>
      <c r="I56" s="695"/>
      <c r="J56" s="695"/>
      <c r="K56" s="695"/>
      <c r="L56" s="695"/>
      <c r="M56" s="695"/>
      <c r="N56" s="695"/>
      <c r="O56" s="695"/>
      <c r="P56" s="695"/>
      <c r="Q56" s="695"/>
      <c r="R56" s="695"/>
      <c r="S56" s="695"/>
      <c r="T56" s="695"/>
      <c r="U56" s="696"/>
    </row>
    <row r="57" spans="2:21" ht="34.5" customHeight="1">
      <c r="B57" s="688" t="s">
        <v>659</v>
      </c>
      <c r="C57" s="856" t="s">
        <v>660</v>
      </c>
      <c r="D57" s="856"/>
      <c r="E57" s="856"/>
      <c r="F57" s="856"/>
      <c r="G57" s="856"/>
      <c r="H57" s="856"/>
      <c r="I57" s="856"/>
      <c r="J57" s="856"/>
      <c r="K57" s="856"/>
      <c r="L57" s="856"/>
      <c r="M57" s="856"/>
      <c r="N57" s="856"/>
      <c r="O57" s="856"/>
      <c r="P57" s="856"/>
      <c r="Q57" s="856"/>
      <c r="R57" s="856"/>
      <c r="S57" s="856"/>
      <c r="T57" s="856"/>
      <c r="U57" s="857"/>
    </row>
    <row r="58" spans="2:21" ht="14.5">
      <c r="B58" s="708"/>
      <c r="C58" s="695"/>
      <c r="D58" s="695"/>
      <c r="E58" s="695"/>
      <c r="F58" s="695"/>
      <c r="G58" s="695"/>
      <c r="H58" s="695"/>
      <c r="I58" s="695"/>
      <c r="J58" s="695"/>
      <c r="K58" s="695"/>
      <c r="L58" s="695"/>
      <c r="M58" s="695"/>
      <c r="N58" s="695"/>
      <c r="O58" s="695"/>
      <c r="P58" s="695"/>
      <c r="Q58" s="695"/>
      <c r="R58" s="695"/>
      <c r="S58" s="695"/>
      <c r="T58" s="695"/>
      <c r="U58" s="696"/>
    </row>
    <row r="59" spans="2:21" ht="30.75" customHeight="1">
      <c r="B59" s="697" t="s">
        <v>661</v>
      </c>
      <c r="C59" s="709" t="s">
        <v>662</v>
      </c>
      <c r="D59" s="710"/>
      <c r="E59" s="710"/>
      <c r="F59" s="710"/>
      <c r="G59" s="710"/>
      <c r="H59" s="710"/>
      <c r="I59" s="710"/>
      <c r="J59" s="710"/>
      <c r="K59" s="710"/>
      <c r="L59" s="710"/>
      <c r="M59" s="710"/>
      <c r="N59" s="710"/>
      <c r="O59" s="710"/>
      <c r="P59" s="710"/>
      <c r="Q59" s="710"/>
      <c r="R59" s="710"/>
      <c r="S59" s="710"/>
      <c r="T59" s="710"/>
      <c r="U59" s="711"/>
    </row>
    <row r="157" spans="4:4" ht="14.5">
      <c r="D157" s="840"/>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3:T157"/>
  <sheetViews>
    <sheetView zoomScale="85" zoomScaleNormal="85" workbookViewId="0" topLeftCell="A113">
      <selection pane="topLeft" activeCell="D157" sqref="D157"/>
    </sheetView>
  </sheetViews>
  <sheetFormatPr defaultColWidth="9.00428571428571" defaultRowHeight="15.5"/>
  <cols>
    <col min="1" max="1" width="3" style="12" customWidth="1"/>
    <col min="2" max="2" width="61.5714285714286" style="10" customWidth="1"/>
    <col min="3" max="3" width="58.5714285714286" style="12" customWidth="1"/>
    <col min="4" max="4" width="62.5714285714286" style="12" customWidth="1"/>
    <col min="5" max="5" width="42" style="12" customWidth="1"/>
    <col min="6" max="6" width="44.1428571428571" style="12" customWidth="1"/>
    <col min="7" max="7" width="9" style="16"/>
    <col min="8" max="10" width="9" style="12"/>
    <col min="11" max="11" width="26" style="12" customWidth="1"/>
    <col min="12" max="12" width="60" style="17" customWidth="1"/>
    <col min="13" max="13" width="14.5714285714286" style="25" customWidth="1"/>
    <col min="14" max="14" width="29.5714285714286" style="17" customWidth="1"/>
    <col min="15" max="16384" width="9" style="12"/>
  </cols>
  <sheetData>
    <row r="1" ht="146.25" customHeight="1"/>
    <row r="3" spans="2:7" ht="25.5" customHeight="1">
      <c r="B3" s="861" t="s">
        <v>722</v>
      </c>
      <c r="C3" s="862"/>
      <c r="D3" s="862"/>
      <c r="E3" s="862"/>
      <c r="F3" s="863"/>
      <c r="G3" s="122"/>
    </row>
    <row r="4" spans="2:7" ht="16.5" customHeight="1">
      <c r="B4" s="864"/>
      <c r="C4" s="865"/>
      <c r="D4" s="865"/>
      <c r="E4" s="865"/>
      <c r="F4" s="866"/>
      <c r="G4" s="122"/>
    </row>
    <row r="5" spans="2:7" ht="71.25" customHeight="1">
      <c r="B5" s="864"/>
      <c r="C5" s="865"/>
      <c r="D5" s="865"/>
      <c r="E5" s="865"/>
      <c r="F5" s="866"/>
      <c r="G5" s="122"/>
    </row>
    <row r="6" spans="2:7" ht="21.75" customHeight="1">
      <c r="B6" s="867"/>
      <c r="C6" s="868"/>
      <c r="D6" s="868"/>
      <c r="E6" s="868"/>
      <c r="F6" s="869"/>
      <c r="G6" s="122"/>
    </row>
    <row r="8" spans="2:7" ht="20">
      <c r="B8" s="860" t="s">
        <v>480</v>
      </c>
      <c r="C8" s="860"/>
      <c r="D8" s="860"/>
      <c r="E8" s="860"/>
      <c r="F8" s="860"/>
      <c r="G8" s="860"/>
    </row>
    <row r="9" spans="2:7" ht="24.75" customHeight="1" thickBot="1">
      <c r="B9" s="114"/>
      <c r="C9" s="114"/>
      <c r="D9" s="114"/>
      <c r="E9" s="114"/>
      <c r="F9" s="114"/>
      <c r="G9" s="119"/>
    </row>
    <row r="10" spans="2:7" ht="27.75" customHeight="1" thickBot="1">
      <c r="B10" s="117" t="s">
        <v>171</v>
      </c>
      <c r="C10" s="102" t="s">
        <v>406</v>
      </c>
      <c r="D10" s="114"/>
      <c r="E10" s="114"/>
      <c r="F10" s="114"/>
      <c r="G10" s="119"/>
    </row>
    <row r="11" spans="2:7" ht="15.5">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4: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39" t="s">
        <v>542</v>
      </c>
      <c r="C22" s="645" t="s">
        <v>436</v>
      </c>
      <c r="D22" s="648" t="s">
        <v>442</v>
      </c>
      <c r="E22" s="652" t="s">
        <v>587</v>
      </c>
      <c r="F22" s="648" t="s">
        <v>447</v>
      </c>
      <c r="G22" s="174"/>
      <c r="M22" s="637"/>
      <c r="T22" s="637"/>
    </row>
    <row r="23" spans="2:20" s="103" customFormat="1" ht="35.25" customHeight="1">
      <c r="B23" s="640" t="s">
        <v>457</v>
      </c>
      <c r="C23" s="646" t="s">
        <v>437</v>
      </c>
      <c r="D23" s="649" t="s">
        <v>443</v>
      </c>
      <c r="E23" s="653" t="s">
        <v>587</v>
      </c>
      <c r="F23" s="649" t="s">
        <v>447</v>
      </c>
      <c r="G23" s="174"/>
      <c r="M23" s="637"/>
      <c r="T23" s="637"/>
    </row>
    <row r="24" spans="2:20" s="103" customFormat="1" ht="34.5" customHeight="1">
      <c r="B24" s="640" t="s">
        <v>454</v>
      </c>
      <c r="C24" s="646" t="s">
        <v>437</v>
      </c>
      <c r="D24" s="649" t="s">
        <v>444</v>
      </c>
      <c r="E24" s="653" t="s">
        <v>587</v>
      </c>
      <c r="F24" s="649" t="s">
        <v>447</v>
      </c>
      <c r="G24" s="174"/>
      <c r="M24" s="637"/>
      <c r="T24" s="637"/>
    </row>
    <row r="25" spans="2:20" s="103" customFormat="1" ht="32.25" customHeight="1">
      <c r="B25" s="641" t="s">
        <v>455</v>
      </c>
      <c r="C25" s="646" t="s">
        <v>436</v>
      </c>
      <c r="D25" s="649" t="s">
        <v>445</v>
      </c>
      <c r="E25" s="654" t="s">
        <v>606</v>
      </c>
      <c r="F25" s="657"/>
      <c r="G25" s="174"/>
      <c r="M25" s="637"/>
      <c r="T25" s="637"/>
    </row>
    <row r="26" spans="2:20" s="103" customFormat="1" ht="30.75" customHeight="1">
      <c r="B26" s="642" t="s">
        <v>540</v>
      </c>
      <c r="C26" s="646" t="s">
        <v>436</v>
      </c>
      <c r="D26" s="649"/>
      <c r="E26" s="654"/>
      <c r="F26" s="657"/>
      <c r="G26" s="174"/>
      <c r="M26" s="637"/>
      <c r="T26" s="637"/>
    </row>
    <row r="27" spans="2:20" s="103" customFormat="1" ht="32.25" customHeight="1">
      <c r="B27" s="643" t="s">
        <v>541</v>
      </c>
      <c r="C27" s="646" t="s">
        <v>436</v>
      </c>
      <c r="D27" s="650" t="s">
        <v>537</v>
      </c>
      <c r="E27" s="654"/>
      <c r="F27" s="657"/>
      <c r="G27" s="174"/>
      <c r="M27" s="637"/>
      <c r="T27" s="637"/>
    </row>
    <row r="28" spans="2:20" s="103" customFormat="1" ht="27" customHeight="1">
      <c r="B28" s="641" t="s">
        <v>456</v>
      </c>
      <c r="C28" s="646" t="s">
        <v>439</v>
      </c>
      <c r="D28" s="649" t="s">
        <v>481</v>
      </c>
      <c r="E28" s="654" t="s">
        <v>458</v>
      </c>
      <c r="F28" s="657"/>
      <c r="G28" s="174"/>
      <c r="M28" s="637"/>
      <c r="T28" s="637"/>
    </row>
    <row r="29" spans="2:20" s="103" customFormat="1" ht="27" customHeight="1">
      <c r="B29" s="643" t="s">
        <v>451</v>
      </c>
      <c r="C29" s="646" t="s">
        <v>436</v>
      </c>
      <c r="D29" s="649"/>
      <c r="E29" s="654"/>
      <c r="F29" s="649" t="s">
        <v>407</v>
      </c>
      <c r="G29" s="174"/>
      <c r="M29" s="637"/>
      <c r="T29" s="637"/>
    </row>
    <row r="30" spans="2:13" s="103" customFormat="1" ht="32.25" customHeight="1">
      <c r="B30" s="641" t="s">
        <v>207</v>
      </c>
      <c r="C30" s="646" t="s">
        <v>441</v>
      </c>
      <c r="D30" s="649" t="s">
        <v>554</v>
      </c>
      <c r="E30" s="655"/>
      <c r="F30" s="649" t="s">
        <v>553</v>
      </c>
      <c r="G30" s="638"/>
      <c r="M30" s="637"/>
    </row>
    <row r="31" spans="2:13" s="103" customFormat="1" ht="27.75" customHeight="1">
      <c r="B31" s="644" t="s">
        <v>538</v>
      </c>
      <c r="C31" s="647" t="s">
        <v>440</v>
      </c>
      <c r="D31" s="651"/>
      <c r="E31" s="656"/>
      <c r="F31" s="651"/>
      <c r="G31" s="638"/>
      <c r="M31" s="637"/>
    </row>
    <row r="32" spans="3:13" s="103" customFormat="1" ht="23.25" customHeight="1">
      <c r="C32" s="175"/>
      <c r="D32" s="175"/>
      <c r="E32" s="175"/>
      <c r="G32" s="638"/>
      <c r="M32" s="637"/>
    </row>
    <row r="33" spans="2:13" s="17" customFormat="1" ht="15.5">
      <c r="B33" s="175"/>
      <c r="C33" s="173"/>
      <c r="D33" s="173"/>
      <c r="E33" s="173"/>
      <c r="G33" s="163"/>
      <c r="M33" s="25"/>
    </row>
    <row r="34" spans="3:5" ht="15.5">
      <c r="C34" s="10"/>
      <c r="D34" s="10"/>
      <c r="E34" s="10"/>
    </row>
    <row r="157" spans="4:4" ht="15.5">
      <c r="D157" s="840"/>
    </row>
  </sheetData>
  <mergeCells count="2">
    <mergeCell ref="B8:G8"/>
    <mergeCell ref="B3:F6"/>
  </mergeCells>
  <dataValidations count="1">
    <dataValidation type="list" allowBlank="1" showInputMessage="1" showErrorMessage="1" sqref="B13:B19">
      <formula1>DropDownList!$D$2:$D$4</formula1>
    </dataValidation>
  </dataValidations>
  <pageMargins left="0.7" right="0.7" top="0.75" bottom="0.75" header="0.3" footer="0.3"/>
  <pageSetup orientation="landscape" paperSize="17" scale="65"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topLeftCell="A1">
      <selection pane="topLeft" activeCell="E28" sqref="E28"/>
    </sheetView>
  </sheetViews>
  <sheetFormatPr defaultColWidth="9.00428571428571" defaultRowHeight="14.5"/>
  <cols>
    <col min="1" max="1" width="61" style="12" bestFit="1" customWidth="1"/>
    <col min="2" max="2" width="13.5714285714286" style="12" customWidth="1"/>
    <col min="3" max="3" width="9" style="10"/>
    <col min="4" max="4" width="15" style="12" customWidth="1"/>
    <col min="5" max="5" width="11.5714285714286" style="10" customWidth="1"/>
    <col min="6" max="6" width="24" style="12" customWidth="1"/>
    <col min="7" max="7" width="32" style="12" customWidth="1"/>
    <col min="8" max="8" width="14.5714285714286" style="12" customWidth="1"/>
    <col min="9" max="16384" width="9" style="12"/>
  </cols>
  <sheetData>
    <row r="1" spans="1:8" ht="14.5">
      <c r="A1" s="8" t="s">
        <v>410</v>
      </c>
      <c r="B1" s="8" t="s">
        <v>41</v>
      </c>
      <c r="C1" s="120" t="s">
        <v>234</v>
      </c>
      <c r="D1" s="8" t="s">
        <v>414</v>
      </c>
      <c r="E1" s="120" t="s">
        <v>449</v>
      </c>
      <c r="F1" s="120" t="s">
        <v>548</v>
      </c>
      <c r="G1" s="120" t="s">
        <v>570</v>
      </c>
      <c r="H1" s="120" t="s">
        <v>581</v>
      </c>
    </row>
    <row r="2" spans="1:8" ht="14.5">
      <c r="A2" s="12" t="s">
        <v>29</v>
      </c>
      <c r="B2" s="12" t="s">
        <v>27</v>
      </c>
      <c r="C2" s="10">
        <v>2006</v>
      </c>
      <c r="D2" s="12" t="s">
        <v>415</v>
      </c>
      <c r="E2" s="10">
        <f>'2. LRAMVA Threshold'!D9</f>
        <v>2016</v>
      </c>
      <c r="F2" s="26" t="s">
        <v>170</v>
      </c>
      <c r="G2" s="12" t="s">
        <v>571</v>
      </c>
      <c r="H2" s="12" t="s">
        <v>589</v>
      </c>
    </row>
    <row r="3" spans="1:8" ht="14.5">
      <c r="A3" s="12" t="s">
        <v>371</v>
      </c>
      <c r="B3" s="12" t="s">
        <v>27</v>
      </c>
      <c r="C3" s="10">
        <v>2007</v>
      </c>
      <c r="D3" s="12" t="s">
        <v>416</v>
      </c>
      <c r="E3" s="10">
        <f>'2. LRAMVA Threshold'!D24</f>
        <v>2012</v>
      </c>
      <c r="F3" s="12" t="s">
        <v>549</v>
      </c>
      <c r="G3" s="12" t="s">
        <v>572</v>
      </c>
      <c r="H3" s="12" t="s">
        <v>582</v>
      </c>
    </row>
    <row r="4" spans="1:7" ht="14.5">
      <c r="A4" s="12" t="s">
        <v>372</v>
      </c>
      <c r="B4" s="12" t="s">
        <v>28</v>
      </c>
      <c r="C4" s="10">
        <v>2008</v>
      </c>
      <c r="D4" s="12" t="s">
        <v>417</v>
      </c>
      <c r="F4" s="12" t="s">
        <v>169</v>
      </c>
      <c r="G4" s="12" t="s">
        <v>573</v>
      </c>
    </row>
    <row r="5" spans="1:7" ht="14.5">
      <c r="A5" s="12" t="s">
        <v>373</v>
      </c>
      <c r="B5" s="12" t="s">
        <v>28</v>
      </c>
      <c r="C5" s="10">
        <v>2009</v>
      </c>
      <c r="F5" s="12" t="s">
        <v>368</v>
      </c>
      <c r="G5" s="12" t="s">
        <v>574</v>
      </c>
    </row>
    <row r="6" spans="1:7" ht="14.5">
      <c r="A6" s="12" t="s">
        <v>374</v>
      </c>
      <c r="B6" s="12" t="s">
        <v>28</v>
      </c>
      <c r="C6" s="10">
        <v>2010</v>
      </c>
      <c r="F6" s="12" t="s">
        <v>369</v>
      </c>
      <c r="G6" s="12" t="s">
        <v>575</v>
      </c>
    </row>
    <row r="7" spans="1:7" ht="14.5">
      <c r="A7" s="12" t="s">
        <v>375</v>
      </c>
      <c r="B7" s="12" t="s">
        <v>28</v>
      </c>
      <c r="C7" s="10">
        <v>2011</v>
      </c>
      <c r="F7" s="12" t="s">
        <v>370</v>
      </c>
      <c r="G7" s="12" t="s">
        <v>576</v>
      </c>
    </row>
    <row r="8" spans="1:7" ht="14.5">
      <c r="A8" s="12" t="s">
        <v>376</v>
      </c>
      <c r="B8" s="12" t="s">
        <v>28</v>
      </c>
      <c r="C8" s="10">
        <v>2012</v>
      </c>
      <c r="F8" s="12" t="s">
        <v>557</v>
      </c>
      <c r="G8" s="12" t="s">
        <v>577</v>
      </c>
    </row>
    <row r="9" spans="1:7" ht="14.5">
      <c r="A9" s="12" t="s">
        <v>377</v>
      </c>
      <c r="B9" s="12" t="s">
        <v>28</v>
      </c>
      <c r="C9" s="10">
        <v>2013</v>
      </c>
      <c r="G9" s="12" t="s">
        <v>578</v>
      </c>
    </row>
    <row r="10" spans="1:7" ht="14.5">
      <c r="A10" s="12" t="s">
        <v>378</v>
      </c>
      <c r="B10" s="12" t="s">
        <v>28</v>
      </c>
      <c r="C10" s="10">
        <v>2014</v>
      </c>
      <c r="G10" s="12" t="s">
        <v>579</v>
      </c>
    </row>
    <row r="11" spans="1:7" ht="14.5">
      <c r="A11" s="12" t="s">
        <v>379</v>
      </c>
      <c r="B11" s="12" t="s">
        <v>28</v>
      </c>
      <c r="C11" s="10">
        <v>2015</v>
      </c>
      <c r="G11" s="12" t="s">
        <v>580</v>
      </c>
    </row>
    <row r="12" spans="1:3" ht="14.5">
      <c r="A12" s="12" t="s">
        <v>380</v>
      </c>
      <c r="B12" s="12" t="s">
        <v>28</v>
      </c>
      <c r="C12" s="10">
        <v>2016</v>
      </c>
    </row>
    <row r="13" spans="1:3" ht="14.5">
      <c r="A13" s="12" t="s">
        <v>381</v>
      </c>
      <c r="B13" s="12" t="s">
        <v>28</v>
      </c>
      <c r="C13" s="10">
        <v>2017</v>
      </c>
    </row>
    <row r="14" spans="1:3" ht="14.5">
      <c r="A14" s="12" t="s">
        <v>382</v>
      </c>
      <c r="B14" s="12" t="s">
        <v>28</v>
      </c>
      <c r="C14" s="10">
        <v>2018</v>
      </c>
    </row>
    <row r="15" spans="1:3" ht="14.5">
      <c r="A15" s="12" t="s">
        <v>383</v>
      </c>
      <c r="B15" s="12" t="s">
        <v>28</v>
      </c>
      <c r="C15" s="10">
        <v>2019</v>
      </c>
    </row>
    <row r="16" spans="1:3" ht="14.5">
      <c r="A16" s="12" t="s">
        <v>384</v>
      </c>
      <c r="B16" s="12" t="s">
        <v>28</v>
      </c>
      <c r="C16" s="10">
        <v>2020</v>
      </c>
    </row>
    <row r="17" spans="1:2" ht="14.5">
      <c r="A17" s="12" t="s">
        <v>385</v>
      </c>
      <c r="B17" s="12" t="s">
        <v>28</v>
      </c>
    </row>
    <row r="18" spans="1:2" ht="14.5">
      <c r="A18" s="12" t="s">
        <v>386</v>
      </c>
      <c r="B18" s="12" t="s">
        <v>28</v>
      </c>
    </row>
    <row r="19" spans="1:2" ht="14.5">
      <c r="A19" s="12" t="s">
        <v>387</v>
      </c>
      <c r="B19" s="12" t="s">
        <v>28</v>
      </c>
    </row>
    <row r="20" spans="1:2" ht="14.5">
      <c r="A20" s="12" t="s">
        <v>388</v>
      </c>
      <c r="B20" s="12" t="s">
        <v>28</v>
      </c>
    </row>
    <row r="21" spans="1:2" ht="14.5">
      <c r="A21" s="12" t="s">
        <v>389</v>
      </c>
      <c r="B21" s="12" t="s">
        <v>28</v>
      </c>
    </row>
    <row r="22" spans="1:2" ht="14.5">
      <c r="A22" s="12" t="s">
        <v>390</v>
      </c>
      <c r="B22" s="12" t="s">
        <v>28</v>
      </c>
    </row>
    <row r="23" spans="1:2" ht="14.5">
      <c r="A23" s="12" t="s">
        <v>391</v>
      </c>
      <c r="B23" s="12" t="s">
        <v>28</v>
      </c>
    </row>
    <row r="24" spans="1:2" ht="14.5">
      <c r="A24" s="12" t="s">
        <v>392</v>
      </c>
      <c r="B24" s="12" t="s">
        <v>28</v>
      </c>
    </row>
    <row r="25" spans="1:2" ht="14.5">
      <c r="A25" s="12" t="s">
        <v>393</v>
      </c>
      <c r="B25" s="12" t="s">
        <v>28</v>
      </c>
    </row>
    <row r="26" spans="1:2" ht="14.5">
      <c r="A26" s="12" t="s">
        <v>32</v>
      </c>
      <c r="B26" s="12" t="s">
        <v>27</v>
      </c>
    </row>
    <row r="27" spans="1:2" ht="14.5">
      <c r="A27" s="12" t="s">
        <v>394</v>
      </c>
      <c r="B27" s="12" t="s">
        <v>28</v>
      </c>
    </row>
    <row r="28" spans="1:2" ht="14.5">
      <c r="A28" s="12" t="s">
        <v>395</v>
      </c>
      <c r="B28" s="12" t="s">
        <v>28</v>
      </c>
    </row>
    <row r="29" spans="1:2" ht="14.5">
      <c r="A29" s="12" t="s">
        <v>396</v>
      </c>
      <c r="B29" s="12" t="s">
        <v>28</v>
      </c>
    </row>
    <row r="30" spans="1:2" ht="14.5">
      <c r="A30" s="12" t="s">
        <v>30</v>
      </c>
      <c r="B30" s="12" t="s">
        <v>28</v>
      </c>
    </row>
    <row r="31" spans="1:2" ht="14.5">
      <c r="A31" s="12" t="s">
        <v>397</v>
      </c>
      <c r="B31" s="12" t="s">
        <v>28</v>
      </c>
    </row>
    <row r="32" spans="1:2" ht="14.5">
      <c r="A32" s="12" t="s">
        <v>398</v>
      </c>
      <c r="B32" s="12" t="s">
        <v>28</v>
      </c>
    </row>
    <row r="33" spans="1:2" ht="14.5">
      <c r="A33" s="12" t="s">
        <v>399</v>
      </c>
      <c r="B33" s="12" t="s">
        <v>28</v>
      </c>
    </row>
    <row r="34" spans="1:2" ht="14.5">
      <c r="A34" s="12" t="s">
        <v>400</v>
      </c>
      <c r="B34" s="12" t="s">
        <v>28</v>
      </c>
    </row>
    <row r="35" spans="1:2" ht="14.5">
      <c r="A35" s="12" t="s">
        <v>401</v>
      </c>
      <c r="B35" s="12" t="s">
        <v>28</v>
      </c>
    </row>
    <row r="36" spans="1:2" ht="14.5">
      <c r="A36" s="12" t="s">
        <v>402</v>
      </c>
      <c r="B36" s="12" t="s">
        <v>28</v>
      </c>
    </row>
    <row r="37" spans="1:2" ht="14.5">
      <c r="A37" s="12" t="s">
        <v>403</v>
      </c>
      <c r="B37" s="12" t="s">
        <v>28</v>
      </c>
    </row>
    <row r="38" spans="1:2" ht="14.5">
      <c r="A38" s="12" t="s">
        <v>404</v>
      </c>
      <c r="B38" s="12" t="s">
        <v>28</v>
      </c>
    </row>
    <row r="39" spans="1:2" ht="14.5">
      <c r="A39" s="12" t="s">
        <v>405</v>
      </c>
      <c r="B39" s="12" t="s">
        <v>28</v>
      </c>
    </row>
    <row r="40" spans="1:2" ht="14.5">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V157"/>
  <sheetViews>
    <sheetView tabSelected="1" zoomScale="85" zoomScaleNormal="85" workbookViewId="0" topLeftCell="B79">
      <selection pane="topLeft" activeCell="R119" sqref="R118:R119"/>
    </sheetView>
  </sheetViews>
  <sheetFormatPr defaultColWidth="9.00428571428571" defaultRowHeight="15.5"/>
  <cols>
    <col min="1" max="1" width="2.57142857142857" style="9" customWidth="1"/>
    <col min="2" max="2" width="33.5714285714286" style="9" customWidth="1"/>
    <col min="3" max="4" width="29.5714285714286" style="9" customWidth="1"/>
    <col min="5" max="5" width="24.4285714285714" style="17" customWidth="1"/>
    <col min="6" max="6" width="34.4285714285714" style="9" customWidth="1"/>
    <col min="7" max="7" width="27.5714285714286" style="9" customWidth="1"/>
    <col min="8" max="8" width="29" style="9" customWidth="1"/>
    <col min="9" max="9" width="23" style="9" customWidth="1"/>
    <col min="10" max="10" width="22" style="9" customWidth="1"/>
    <col min="11" max="11" width="19.5714285714286" style="9" hidden="1" customWidth="1"/>
    <col min="12" max="12" width="21.5714285714286" style="9" hidden="1" customWidth="1"/>
    <col min="13" max="14" width="24" style="9" hidden="1" customWidth="1"/>
    <col min="15" max="15" width="21.4285714285714" style="9" hidden="1" customWidth="1"/>
    <col min="16" max="16" width="22" style="9" hidden="1" customWidth="1"/>
    <col min="17" max="17" width="16.4285714285714" style="9" hidden="1" customWidth="1"/>
    <col min="18" max="18" width="15.5714285714286" style="9" customWidth="1"/>
    <col min="19" max="19" width="17" style="9" customWidth="1"/>
    <col min="20" max="20" width="13.5714285714286" style="8" customWidth="1"/>
    <col min="21" max="21" width="6.42857142857143" style="8" customWidth="1"/>
    <col min="22" max="22" width="13.5714285714286" style="9" customWidth="1"/>
    <col min="23" max="23" width="15.4285714285714" style="9" customWidth="1"/>
    <col min="24" max="16384" width="9" style="9"/>
  </cols>
  <sheetData>
    <row r="1" ht="144" customHeight="1"/>
    <row r="2" spans="5:22" ht="49.5" customHeight="1">
      <c r="E2" s="9"/>
      <c r="F2" s="17"/>
      <c r="H2" s="61"/>
      <c r="I2" s="32"/>
      <c r="K2" s="36"/>
      <c r="L2" s="36"/>
      <c r="T2" s="9"/>
      <c r="V2" s="8"/>
    </row>
    <row r="3" spans="5:22" ht="16.5" customHeight="1" thickBot="1">
      <c r="E3" s="9"/>
      <c r="F3" s="17"/>
      <c r="H3" s="61"/>
      <c r="I3" s="32"/>
      <c r="K3" s="36"/>
      <c r="L3" s="36"/>
      <c r="T3" s="9"/>
      <c r="V3" s="8"/>
    </row>
    <row r="4" spans="2:22" ht="24.75" customHeight="1" thickBot="1">
      <c r="B4" s="83" t="s">
        <v>171</v>
      </c>
      <c r="C4" s="126" t="s">
        <v>175</v>
      </c>
      <c r="E4" s="9"/>
      <c r="T4" s="9"/>
      <c r="V4" s="8"/>
    </row>
    <row r="5" spans="3:22" ht="26.25" customHeight="1" thickBot="1">
      <c r="C5" s="129" t="s">
        <v>172</v>
      </c>
      <c r="E5" s="9"/>
      <c r="T5" s="9"/>
      <c r="V5" s="8"/>
    </row>
    <row r="6" spans="2:22" ht="27" customHeight="1" thickBot="1">
      <c r="B6" s="83"/>
      <c r="C6" s="562" t="s">
        <v>550</v>
      </c>
      <c r="D6" s="17"/>
      <c r="E6" s="9"/>
      <c r="T6" s="9"/>
      <c r="V6" s="8"/>
    </row>
    <row r="7" spans="2:22" ht="21" customHeight="1">
      <c r="B7" s="530"/>
      <c r="C7" s="17"/>
      <c r="D7" s="17"/>
      <c r="E7" s="9"/>
      <c r="T7" s="9"/>
      <c r="V7" s="8"/>
    </row>
    <row r="8" spans="2:22" ht="24.75" customHeight="1">
      <c r="B8" s="117" t="s">
        <v>239</v>
      </c>
      <c r="C8" s="189" t="s">
        <v>745</v>
      </c>
      <c r="D8" s="594"/>
      <c r="E8" s="9"/>
      <c r="T8" s="9"/>
      <c r="V8" s="8"/>
    </row>
    <row r="9" spans="2:22" ht="41.25" customHeight="1">
      <c r="B9" s="544" t="s">
        <v>519</v>
      </c>
      <c r="C9" s="540"/>
      <c r="D9" s="538"/>
      <c r="E9" s="538"/>
      <c r="F9" s="538"/>
      <c r="G9" s="538"/>
      <c r="H9" s="538"/>
      <c r="I9" s="538"/>
      <c r="J9" s="539"/>
      <c r="K9" s="539"/>
      <c r="L9" s="539"/>
      <c r="M9" s="18"/>
      <c r="T9" s="9"/>
      <c r="V9" s="8"/>
    </row>
    <row r="10" spans="2:22" ht="10.5" customHeight="1">
      <c r="B10" s="544"/>
      <c r="C10" s="540"/>
      <c r="D10" s="538"/>
      <c r="E10" s="538"/>
      <c r="F10" s="538"/>
      <c r="G10" s="538"/>
      <c r="H10" s="538"/>
      <c r="I10" s="538"/>
      <c r="J10" s="539"/>
      <c r="K10" s="539"/>
      <c r="L10" s="539"/>
      <c r="M10" s="18"/>
      <c r="T10" s="9"/>
      <c r="V10" s="8"/>
    </row>
    <row r="11" spans="2:21" s="542" customFormat="1" ht="26.25" customHeight="1">
      <c r="B11" s="561" t="s">
        <v>555</v>
      </c>
      <c r="C11" s="560"/>
      <c r="D11" s="560"/>
      <c r="E11" s="560"/>
      <c r="F11" s="560"/>
      <c r="G11" s="560"/>
      <c r="H11" s="560"/>
      <c r="T11" s="543"/>
      <c r="U11" s="543"/>
    </row>
    <row r="12" spans="2:21" s="32" customFormat="1" ht="18.75" customHeight="1">
      <c r="B12" s="537"/>
      <c r="T12" s="186"/>
      <c r="U12" s="186"/>
    </row>
    <row r="13" spans="2:21" s="32" customFormat="1" ht="22.5" customHeight="1" thickBot="1">
      <c r="B13" s="185" t="s">
        <v>507</v>
      </c>
      <c r="C13" s="17"/>
      <c r="F13" s="185" t="s">
        <v>508</v>
      </c>
      <c r="G13" s="36"/>
      <c r="H13" s="31"/>
      <c r="I13" s="9"/>
      <c r="J13" s="184" t="s">
        <v>505</v>
      </c>
      <c r="N13" s="103"/>
      <c r="P13" s="9"/>
      <c r="Q13" s="187"/>
      <c r="R13" s="42"/>
      <c r="T13" s="186"/>
      <c r="U13" s="186"/>
    </row>
    <row r="14" spans="2:18" ht="29.25" customHeight="1" thickBot="1">
      <c r="B14" s="124" t="s">
        <v>546</v>
      </c>
      <c r="D14" s="535" t="s">
        <v>784</v>
      </c>
      <c r="E14" s="130"/>
      <c r="F14" s="124" t="s">
        <v>547</v>
      </c>
      <c r="H14" s="535" t="s">
        <v>814</v>
      </c>
      <c r="J14" s="124" t="s">
        <v>514</v>
      </c>
      <c r="L14" s="132"/>
      <c r="N14" s="103"/>
      <c r="Q14" s="99"/>
      <c r="R14" s="96"/>
    </row>
    <row r="15" spans="2:18" ht="26.25" customHeight="1" thickBot="1">
      <c r="B15" s="124" t="s">
        <v>423</v>
      </c>
      <c r="C15" s="106"/>
      <c r="D15" s="535" t="s">
        <v>816</v>
      </c>
      <c r="F15" s="124" t="s">
        <v>413</v>
      </c>
      <c r="G15" s="127"/>
      <c r="H15" s="535" t="s">
        <v>815</v>
      </c>
      <c r="I15" s="17"/>
      <c r="J15" s="124" t="s">
        <v>515</v>
      </c>
      <c r="L15" s="132"/>
      <c r="M15" s="103"/>
      <c r="Q15" s="108"/>
      <c r="R15" s="96"/>
    </row>
    <row r="16" spans="2:18" ht="28.5" customHeight="1" thickBot="1">
      <c r="B16" s="124" t="s">
        <v>453</v>
      </c>
      <c r="C16" s="106"/>
      <c r="D16" s="536" t="s">
        <v>180</v>
      </c>
      <c r="E16" s="103"/>
      <c r="F16" s="124" t="s">
        <v>433</v>
      </c>
      <c r="G16" s="125"/>
      <c r="H16" s="809" t="s">
        <v>834</v>
      </c>
      <c r="I16" s="103"/>
      <c r="K16" s="195"/>
      <c r="L16" s="195"/>
      <c r="M16" s="195"/>
      <c r="N16" s="195"/>
      <c r="Q16" s="115"/>
      <c r="R16" s="96"/>
    </row>
    <row r="17" spans="2:18" ht="29.25" customHeight="1">
      <c r="B17" s="124" t="s">
        <v>420</v>
      </c>
      <c r="C17" s="106"/>
      <c r="D17" s="715">
        <v>18852</v>
      </c>
      <c r="E17" s="121"/>
      <c r="F17" s="721" t="s">
        <v>672</v>
      </c>
      <c r="G17" s="195"/>
      <c r="H17" s="810"/>
      <c r="I17" s="17"/>
      <c r="M17" s="195"/>
      <c r="N17" s="195"/>
      <c r="P17" s="99"/>
      <c r="Q17" s="99"/>
      <c r="R17" s="96"/>
    </row>
    <row r="18" spans="2:21" s="28" customFormat="1" ht="29.25" customHeight="1">
      <c r="B18" s="124"/>
      <c r="C18" s="716"/>
      <c r="D18" s="714"/>
      <c r="E18" s="717"/>
      <c r="F18" s="713"/>
      <c r="G18" s="718"/>
      <c r="H18" s="719"/>
      <c r="I18" s="163"/>
      <c r="M18" s="718"/>
      <c r="N18" s="718"/>
      <c r="P18" s="718"/>
      <c r="Q18" s="718"/>
      <c r="R18" s="720"/>
      <c r="T18" s="37"/>
      <c r="U18" s="37"/>
    </row>
    <row r="19" spans="5:18" ht="27.75" customHeight="1" thickBot="1">
      <c r="E19" s="9"/>
      <c r="F19" s="124" t="s">
        <v>434</v>
      </c>
      <c r="G19" s="596" t="s">
        <v>363</v>
      </c>
      <c r="H19" s="242">
        <f>SUM(R54,R57,R60,R63,R66,R69,R72,R75,R78)</f>
        <v>507027.07196845167</v>
      </c>
      <c r="I19" s="17"/>
      <c r="J19" s="115"/>
      <c r="K19" s="115"/>
      <c r="L19" s="115"/>
      <c r="M19" s="115"/>
      <c r="N19" s="115"/>
      <c r="P19" s="115"/>
      <c r="Q19" s="115"/>
      <c r="R19" s="96"/>
    </row>
    <row r="20" spans="5:18" ht="27.75" customHeight="1" thickBot="1">
      <c r="E20" s="9"/>
      <c r="F20" s="124" t="s">
        <v>435</v>
      </c>
      <c r="G20" s="596" t="s">
        <v>364</v>
      </c>
      <c r="H20" s="131">
        <f>-SUM(R55,R58,R61,R64,R67,R70,R73,R76,R79)</f>
        <v>182741.55100000001</v>
      </c>
      <c r="I20" s="17"/>
      <c r="J20" s="115"/>
      <c r="P20" s="115"/>
      <c r="Q20" s="115"/>
      <c r="R20" s="96"/>
    </row>
    <row r="21" spans="3:18" ht="27.75" customHeight="1" thickBot="1">
      <c r="C21" s="32"/>
      <c r="D21" s="32"/>
      <c r="E21" s="32"/>
      <c r="F21" s="124" t="s">
        <v>408</v>
      </c>
      <c r="G21" s="596" t="s">
        <v>365</v>
      </c>
      <c r="H21" s="188">
        <f>R84</f>
        <v>20907.479721304509</v>
      </c>
      <c r="I21" s="103"/>
      <c r="P21" s="115"/>
      <c r="Q21" s="115"/>
      <c r="R21" s="96"/>
    </row>
    <row r="22" spans="3:18" ht="27.75" customHeight="1">
      <c r="C22" s="32"/>
      <c r="D22" s="32"/>
      <c r="E22" s="32"/>
      <c r="F22" s="124" t="s">
        <v>509</v>
      </c>
      <c r="G22" s="596" t="s">
        <v>448</v>
      </c>
      <c r="H22" s="188">
        <f>H19-H20+H21</f>
        <v>345193.00068975613</v>
      </c>
      <c r="I22" s="103"/>
      <c r="P22" s="195"/>
      <c r="Q22" s="195"/>
      <c r="R22" s="96"/>
    </row>
    <row r="23" spans="1:5" ht="22.5" customHeight="1">
      <c r="A23" s="28"/>
      <c r="E23" s="9"/>
    </row>
    <row r="24" spans="1:5" ht="13.5" customHeight="1">
      <c r="A24" s="28"/>
      <c r="B24" s="118" t="s">
        <v>418</v>
      </c>
      <c r="C24" s="35"/>
      <c r="E24" s="9"/>
    </row>
    <row r="25" spans="1:5" ht="13.5" customHeight="1">
      <c r="A25" s="28"/>
      <c r="B25" s="118"/>
      <c r="C25" s="35"/>
      <c r="E25" s="9"/>
    </row>
    <row r="26" spans="1:7" ht="108" customHeight="1">
      <c r="A26" s="28"/>
      <c r="B26" s="872" t="s">
        <v>679</v>
      </c>
      <c r="C26" s="872"/>
      <c r="D26" s="872"/>
      <c r="E26" s="872"/>
      <c r="F26" s="872"/>
      <c r="G26" s="872"/>
    </row>
    <row r="27" spans="1:7" ht="14.25" customHeight="1">
      <c r="A27" s="28"/>
      <c r="B27" s="541"/>
      <c r="C27" s="541"/>
      <c r="D27" s="531"/>
      <c r="E27" s="531"/>
      <c r="F27" s="531"/>
      <c r="G27" s="541"/>
    </row>
    <row r="28" spans="2:21" s="17" customFormat="1" ht="27" customHeight="1">
      <c r="B28" s="873" t="s">
        <v>506</v>
      </c>
      <c r="C28" s="874"/>
      <c r="D28" s="133" t="s">
        <v>41</v>
      </c>
      <c r="E28" s="134" t="s">
        <v>670</v>
      </c>
      <c r="F28" s="134" t="s">
        <v>408</v>
      </c>
      <c r="G28" s="135" t="s">
        <v>409</v>
      </c>
      <c r="T28" s="136"/>
      <c r="U28" s="136"/>
    </row>
    <row r="29" spans="2:7" ht="20.25" customHeight="1">
      <c r="B29" s="870" t="s">
        <v>29</v>
      </c>
      <c r="C29" s="871"/>
      <c r="D29" s="630" t="s">
        <v>27</v>
      </c>
      <c r="E29" s="138">
        <f>SUM(D54:D80)</f>
        <v>163400.90768509364</v>
      </c>
      <c r="F29" s="139">
        <f>D84</f>
        <v>10299.102433618413</v>
      </c>
      <c r="G29" s="138">
        <f>E29+F29</f>
        <v>173700.01011871206</v>
      </c>
    </row>
    <row r="30" spans="2:7" ht="20.25" customHeight="1">
      <c r="B30" s="870" t="s">
        <v>371</v>
      </c>
      <c r="C30" s="871"/>
      <c r="D30" s="630" t="s">
        <v>27</v>
      </c>
      <c r="E30" s="140">
        <f>SUM(E54:E80)</f>
        <v>107492.0008153518</v>
      </c>
      <c r="F30" s="141">
        <f>E84</f>
        <v>6970.4416227476995</v>
      </c>
      <c r="G30" s="140">
        <f>E30+F30</f>
        <v>114462.4424380995</v>
      </c>
    </row>
    <row r="31" spans="2:7" ht="20.25" customHeight="1">
      <c r="B31" s="870" t="s">
        <v>773</v>
      </c>
      <c r="C31" s="871"/>
      <c r="D31" s="630" t="s">
        <v>28</v>
      </c>
      <c r="E31" s="140">
        <f>SUM(F54:F80)</f>
        <v>36555.740918409792</v>
      </c>
      <c r="F31" s="141">
        <f>F84</f>
        <v>2557.8260142545346</v>
      </c>
      <c r="G31" s="140">
        <f t="shared" si="0" ref="G31:G34">E31+F31</f>
        <v>39113.566932664326</v>
      </c>
    </row>
    <row r="32" spans="2:7" ht="20.25" customHeight="1">
      <c r="B32" s="870" t="s">
        <v>774</v>
      </c>
      <c r="C32" s="871"/>
      <c r="D32" s="630" t="s">
        <v>28</v>
      </c>
      <c r="E32" s="140">
        <f>SUM(G54:G80)</f>
        <v>28664.978314015683</v>
      </c>
      <c r="F32" s="141">
        <f>G84</f>
        <v>1954.4843743759639</v>
      </c>
      <c r="G32" s="140">
        <f t="shared" si="0"/>
        <v>30619.462688391646</v>
      </c>
    </row>
    <row r="33" spans="2:7" ht="20.25" customHeight="1">
      <c r="B33" s="870" t="s">
        <v>775</v>
      </c>
      <c r="C33" s="871"/>
      <c r="D33" s="630" t="s">
        <v>27</v>
      </c>
      <c r="E33" s="140">
        <f>SUM(H54:H80)</f>
        <v>0</v>
      </c>
      <c r="F33" s="141">
        <f>H84</f>
        <v>0</v>
      </c>
      <c r="G33" s="140">
        <f>E33+F33</f>
        <v>0</v>
      </c>
    </row>
    <row r="34" spans="2:7" ht="20.25" customHeight="1">
      <c r="B34" s="870" t="s">
        <v>30</v>
      </c>
      <c r="C34" s="871"/>
      <c r="D34" s="630" t="s">
        <v>28</v>
      </c>
      <c r="E34" s="140">
        <f>SUM(I54:I80)</f>
        <v>0</v>
      </c>
      <c r="F34" s="141">
        <f>I84</f>
        <v>0</v>
      </c>
      <c r="G34" s="140">
        <f t="shared" si="0"/>
        <v>0</v>
      </c>
    </row>
    <row r="35" spans="2:7" ht="20.25" customHeight="1">
      <c r="B35" s="870" t="s">
        <v>31</v>
      </c>
      <c r="C35" s="871"/>
      <c r="D35" s="630" t="s">
        <v>28</v>
      </c>
      <c r="E35" s="140">
        <f>SUM(J54:J80)</f>
        <v>-11828.106764419203</v>
      </c>
      <c r="F35" s="141">
        <f>J84</f>
        <v>-874.37472369209672</v>
      </c>
      <c r="G35" s="140">
        <f>E35+F35</f>
        <v>-12702.4814881113</v>
      </c>
    </row>
    <row r="36" spans="2:7" ht="20.25" customHeight="1">
      <c r="B36" s="870"/>
      <c r="C36" s="871"/>
      <c r="D36" s="630"/>
      <c r="E36" s="140">
        <f>SUM(K54:K80)</f>
        <v>0</v>
      </c>
      <c r="F36" s="141">
        <f>K84</f>
        <v>0</v>
      </c>
      <c r="G36" s="140">
        <f t="shared" si="1" ref="G36:G42">E36+F36</f>
        <v>0</v>
      </c>
    </row>
    <row r="37" spans="2:7" ht="20.25" customHeight="1">
      <c r="B37" s="870"/>
      <c r="C37" s="871"/>
      <c r="D37" s="630"/>
      <c r="E37" s="140">
        <f>SUM(L54:L80)</f>
        <v>0</v>
      </c>
      <c r="F37" s="141">
        <f>L84</f>
        <v>0</v>
      </c>
      <c r="G37" s="140">
        <f t="shared" si="1"/>
        <v>0</v>
      </c>
    </row>
    <row r="38" spans="2:7" ht="20.25" customHeight="1">
      <c r="B38" s="870"/>
      <c r="C38" s="871"/>
      <c r="D38" s="630"/>
      <c r="E38" s="140">
        <f>SUM(M54:M80)</f>
        <v>0</v>
      </c>
      <c r="F38" s="141">
        <f>M84</f>
        <v>0</v>
      </c>
      <c r="G38" s="140">
        <f t="shared" si="1"/>
        <v>0</v>
      </c>
    </row>
    <row r="39" spans="2:7" ht="20.25" customHeight="1">
      <c r="B39" s="870"/>
      <c r="C39" s="871"/>
      <c r="D39" s="630"/>
      <c r="E39" s="140">
        <f>SUM(N54:N80)</f>
        <v>0</v>
      </c>
      <c r="F39" s="141">
        <f>N84</f>
        <v>0</v>
      </c>
      <c r="G39" s="140">
        <f t="shared" si="1"/>
        <v>0</v>
      </c>
    </row>
    <row r="40" spans="2:7" ht="20.25" customHeight="1">
      <c r="B40" s="870"/>
      <c r="C40" s="871"/>
      <c r="D40" s="630"/>
      <c r="E40" s="140">
        <f>SUM(O54:O80)</f>
        <v>0</v>
      </c>
      <c r="F40" s="141">
        <f>O84</f>
        <v>0</v>
      </c>
      <c r="G40" s="140">
        <f t="shared" si="1"/>
        <v>0</v>
      </c>
    </row>
    <row r="41" spans="2:7" ht="20.25" customHeight="1">
      <c r="B41" s="870"/>
      <c r="C41" s="871"/>
      <c r="D41" s="630"/>
      <c r="E41" s="140">
        <f>SUM(P54:P80)</f>
        <v>0</v>
      </c>
      <c r="F41" s="141">
        <f>P84</f>
        <v>0</v>
      </c>
      <c r="G41" s="140">
        <f t="shared" si="1"/>
        <v>0</v>
      </c>
    </row>
    <row r="42" spans="2:7" ht="20.25" customHeight="1">
      <c r="B42" s="870"/>
      <c r="C42" s="871"/>
      <c r="D42" s="631"/>
      <c r="E42" s="142">
        <f>SUM(Q54:Q80)</f>
        <v>0</v>
      </c>
      <c r="F42" s="143">
        <f>Q84</f>
        <v>0</v>
      </c>
      <c r="G42" s="142">
        <f t="shared" si="1"/>
        <v>0</v>
      </c>
    </row>
    <row r="43" spans="2:8" s="8" customFormat="1" ht="21" customHeight="1">
      <c r="B43" s="875" t="s">
        <v>26</v>
      </c>
      <c r="C43" s="876"/>
      <c r="D43" s="137"/>
      <c r="E43" s="144">
        <f>SUM(E29:E42)</f>
        <v>324285.52096845169</v>
      </c>
      <c r="F43" s="144">
        <f>SUM(F29:F42)</f>
        <v>20907.479721304509</v>
      </c>
      <c r="G43" s="144">
        <f>SUM(G29:G42)</f>
        <v>345193.00068975618</v>
      </c>
      <c r="H43" s="200"/>
    </row>
    <row r="44" spans="4:6" ht="18" customHeight="1">
      <c r="D44" s="94"/>
      <c r="E44" s="9"/>
      <c r="F44" s="17"/>
    </row>
    <row r="45" spans="3: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0"/>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2" t="s">
        <v>609</v>
      </c>
      <c r="C48" s="872"/>
      <c r="D48" s="872"/>
      <c r="E48" s="872"/>
      <c r="F48" s="872"/>
      <c r="G48" s="872"/>
      <c r="H48" s="872"/>
      <c r="I48" s="872"/>
      <c r="J48" s="872"/>
      <c r="K48" s="872"/>
      <c r="L48" s="872"/>
      <c r="M48" s="610"/>
      <c r="N48" s="105"/>
      <c r="O48" s="105"/>
      <c r="P48" s="105"/>
      <c r="Q48" s="105"/>
      <c r="R48" s="105"/>
      <c r="T48" s="37"/>
      <c r="U48" s="19"/>
      <c r="V48" s="38"/>
    </row>
    <row r="49" spans="2:22" s="28" customFormat="1" ht="41.15" customHeight="1">
      <c r="B49" s="872" t="s">
        <v>561</v>
      </c>
      <c r="C49" s="872"/>
      <c r="D49" s="872"/>
      <c r="E49" s="872"/>
      <c r="F49" s="872"/>
      <c r="G49" s="872"/>
      <c r="H49" s="872"/>
      <c r="I49" s="872"/>
      <c r="J49" s="872"/>
      <c r="K49" s="872"/>
      <c r="L49" s="872"/>
      <c r="M49" s="610"/>
      <c r="N49" s="105"/>
      <c r="O49" s="105"/>
      <c r="P49" s="105"/>
      <c r="Q49" s="105"/>
      <c r="R49" s="105"/>
      <c r="T49" s="37"/>
      <c r="U49" s="19"/>
      <c r="V49" s="38"/>
    </row>
    <row r="50" spans="2:22" s="28" customFormat="1" ht="18" customHeight="1">
      <c r="B50" s="872" t="s">
        <v>678</v>
      </c>
      <c r="C50" s="872"/>
      <c r="D50" s="872"/>
      <c r="E50" s="872"/>
      <c r="F50" s="872"/>
      <c r="G50" s="872"/>
      <c r="H50" s="872"/>
      <c r="I50" s="872"/>
      <c r="J50" s="872"/>
      <c r="K50" s="872"/>
      <c r="L50" s="872"/>
      <c r="M50" s="610"/>
      <c r="N50" s="105"/>
      <c r="O50" s="105"/>
      <c r="P50" s="105"/>
      <c r="Q50" s="105"/>
      <c r="R50" s="105"/>
      <c r="T50" s="37"/>
      <c r="U50" s="19"/>
      <c r="V50" s="38"/>
    </row>
    <row r="51" spans="2:22" ht="15" customHeight="1">
      <c r="B51" s="606"/>
      <c r="C51" s="31"/>
      <c r="D51" s="31"/>
      <c r="E51" s="31"/>
      <c r="F51" s="31"/>
      <c r="G51" s="31"/>
      <c r="H51" s="31"/>
      <c r="I51" s="31"/>
      <c r="J51" s="31"/>
      <c r="K51" s="31"/>
      <c r="L51" s="31"/>
      <c r="M51" s="31"/>
      <c r="N51" s="31"/>
      <c r="O51" s="31"/>
      <c r="P51" s="31"/>
      <c r="Q51" s="31"/>
      <c r="R51" s="31"/>
      <c r="U51" s="19"/>
      <c r="V51" s="13"/>
    </row>
    <row r="52" spans="2:21" s="17" customFormat="1" ht="63" customHeight="1">
      <c r="B52" s="243" t="s">
        <v>34</v>
      </c>
      <c r="C52" s="243" t="s">
        <v>516</v>
      </c>
      <c r="D52" s="135" t="str">
        <f>IF($B29&lt;&gt;"",$B29,"")</f>
        <v>Residential</v>
      </c>
      <c r="E52" s="135" t="str">
        <f>IF($B30&lt;&gt;"",$B30,"")</f>
        <v>GS&lt;50 kW</v>
      </c>
      <c r="F52" s="135" t="str">
        <f>IF($B31&lt;&gt;"",$B31,"")</f>
        <v>GS 50 - 999 kW</v>
      </c>
      <c r="G52" s="135" t="str">
        <f>IF($B32&lt;&gt;"",$B32,"")</f>
        <v>GS 1,000 - 4,999 kW</v>
      </c>
      <c r="H52" s="135" t="str">
        <f>IF($B33&lt;&gt;"",$B33,"")</f>
        <v>USL</v>
      </c>
      <c r="I52" s="135" t="str">
        <f>IF($B34&lt;&gt;"",$B34,"")</f>
        <v>Sentinel Lighting</v>
      </c>
      <c r="J52" s="135" t="str">
        <f>IF($B35&lt;&gt;"",$B35,"")</f>
        <v>Street Lighting</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1" s="146" customFormat="1" ht="15.75" customHeight="1">
      <c r="B53" s="568"/>
      <c r="C53" s="569"/>
      <c r="D53" s="569" t="str">
        <f>D29</f>
        <v>kWh</v>
      </c>
      <c r="E53" s="569" t="str">
        <f>D30</f>
        <v>kWh</v>
      </c>
      <c r="F53" s="569" t="str">
        <f>D31</f>
        <v>kW</v>
      </c>
      <c r="G53" s="569" t="str">
        <f>D32</f>
        <v>kW</v>
      </c>
      <c r="H53" s="569" t="str">
        <f>D33</f>
        <v>kWh</v>
      </c>
      <c r="I53" s="569" t="str">
        <f>D34</f>
        <v>kW</v>
      </c>
      <c r="J53" s="569" t="str">
        <f>D35</f>
        <v>kW</v>
      </c>
      <c r="K53" s="569">
        <f>D36</f>
        <v>0</v>
      </c>
      <c r="L53" s="569">
        <f>D37</f>
        <v>0</v>
      </c>
      <c r="M53" s="569">
        <f>D38</f>
        <v>0</v>
      </c>
      <c r="N53" s="569">
        <f>D39</f>
        <v>0</v>
      </c>
      <c r="O53" s="569">
        <f>D40</f>
        <v>0</v>
      </c>
      <c r="P53" s="569">
        <f>D41</f>
        <v>0</v>
      </c>
      <c r="Q53" s="569">
        <f>D42</f>
        <v>0</v>
      </c>
      <c r="R53" s="570"/>
      <c r="U53" s="147"/>
    </row>
    <row r="54" spans="2:22" s="17" customFormat="1" ht="15.5">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t="15.5">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t="15.5">
      <c r="B56" s="618" t="s">
        <v>67</v>
      </c>
      <c r="C56" s="614"/>
      <c r="D56" s="160"/>
      <c r="E56" s="160"/>
      <c r="F56" s="160"/>
      <c r="G56" s="160"/>
      <c r="H56" s="160"/>
      <c r="I56" s="160"/>
      <c r="J56" s="160"/>
      <c r="K56" s="161"/>
      <c r="L56" s="161"/>
      <c r="M56" s="161"/>
      <c r="N56" s="161"/>
      <c r="O56" s="161"/>
      <c r="P56" s="161"/>
      <c r="Q56" s="161"/>
      <c r="R56" s="162"/>
      <c r="U56" s="159"/>
      <c r="V56" s="153"/>
    </row>
    <row r="57" spans="2:22" s="17" customFormat="1" ht="15.5">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t="15.5">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t="15.5">
      <c r="B59" s="618" t="s">
        <v>67</v>
      </c>
      <c r="C59" s="614"/>
      <c r="D59" s="160"/>
      <c r="E59" s="160"/>
      <c r="F59" s="160"/>
      <c r="G59" s="160"/>
      <c r="H59" s="160"/>
      <c r="I59" s="160"/>
      <c r="J59" s="160"/>
      <c r="K59" s="161"/>
      <c r="L59" s="161"/>
      <c r="M59" s="161"/>
      <c r="N59" s="161"/>
      <c r="O59" s="161"/>
      <c r="P59" s="161"/>
      <c r="Q59" s="161"/>
      <c r="R59" s="162"/>
      <c r="U59" s="159"/>
      <c r="V59" s="153"/>
    </row>
    <row r="60" spans="2:22" s="163" customFormat="1" ht="15.5">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ht="15.5">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ht="15.5">
      <c r="B62" s="618" t="s">
        <v>67</v>
      </c>
      <c r="C62" s="614"/>
      <c r="D62" s="160"/>
      <c r="E62" s="160"/>
      <c r="F62" s="160"/>
      <c r="G62" s="160"/>
      <c r="H62" s="160"/>
      <c r="I62" s="160"/>
      <c r="J62" s="160"/>
      <c r="K62" s="161"/>
      <c r="L62" s="161"/>
      <c r="M62" s="161"/>
      <c r="N62" s="161"/>
      <c r="O62" s="161"/>
      <c r="P62" s="161"/>
      <c r="Q62" s="161"/>
      <c r="R62" s="162"/>
      <c r="U62" s="159"/>
      <c r="V62" s="153"/>
    </row>
    <row r="63" spans="2:22" s="163" customFormat="1" ht="15.5">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ht="15.5">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ht="15.5">
      <c r="B65" s="618" t="s">
        <v>67</v>
      </c>
      <c r="C65" s="614"/>
      <c r="D65" s="160"/>
      <c r="E65" s="160"/>
      <c r="F65" s="160"/>
      <c r="G65" s="160"/>
      <c r="H65" s="160"/>
      <c r="I65" s="160"/>
      <c r="J65" s="160"/>
      <c r="K65" s="161"/>
      <c r="L65" s="161"/>
      <c r="M65" s="161"/>
      <c r="N65" s="161"/>
      <c r="O65" s="161"/>
      <c r="P65" s="161"/>
      <c r="Q65" s="161"/>
      <c r="R65" s="162"/>
      <c r="U65" s="159"/>
      <c r="V65" s="153"/>
    </row>
    <row r="66" spans="2:22" s="163" customFormat="1" ht="15.5">
      <c r="B66" s="154" t="s">
        <v>94</v>
      </c>
      <c r="C66" s="528"/>
      <c r="D66" s="164">
        <f>'5.  2015-2020 LRAM'!Y204</f>
        <v>43857.091783347547</v>
      </c>
      <c r="E66" s="164">
        <f>'5.  2015-2020 LRAM'!Z204</f>
        <v>30709.634040724584</v>
      </c>
      <c r="F66" s="164">
        <f>'5.  2015-2020 LRAM'!AA204</f>
        <v>31335.532768911326</v>
      </c>
      <c r="G66" s="164">
        <f>'5.  2015-2020 LRAM'!AB204</f>
        <v>15584.974668130613</v>
      </c>
      <c r="H66" s="164">
        <f>'5.  2015-2020 LRAM'!AC204</f>
        <v>0</v>
      </c>
      <c r="I66" s="164">
        <f>'5.  2015-2020 LRAM'!AD204</f>
        <v>0</v>
      </c>
      <c r="J66" s="164">
        <f>'5.  2015-2020 LRAM'!AE204</f>
        <v>1836.9683223119964</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123324.20158342605</v>
      </c>
      <c r="U66" s="152"/>
      <c r="V66" s="153"/>
    </row>
    <row r="67" spans="2:22" s="163" customFormat="1" ht="15.5">
      <c r="B67" s="154" t="s">
        <v>93</v>
      </c>
      <c r="C67" s="155"/>
      <c r="D67" s="164">
        <f>-'5.  2015-2020 LRAM'!Y205</f>
        <v>-28524.264300000003</v>
      </c>
      <c r="E67" s="164">
        <f>-'5.  2015-2020 LRAM'!Z205</f>
        <v>-5261.5510000000004</v>
      </c>
      <c r="F67" s="164">
        <f>-'5.  2015-2020 LRAM'!AA205</f>
        <v>-9522.9830000000002</v>
      </c>
      <c r="G67" s="164">
        <f>-'5.  2015-2020 LRAM'!AB205</f>
        <v>-1913.0818999999999</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-45221.8802</v>
      </c>
      <c r="S67" s="158"/>
      <c r="U67" s="152"/>
      <c r="V67" s="153"/>
    </row>
    <row r="68" spans="2:22" s="136" customFormat="1" ht="15.5">
      <c r="B68" s="618" t="s">
        <v>67</v>
      </c>
      <c r="C68" s="614"/>
      <c r="D68" s="160"/>
      <c r="E68" s="160"/>
      <c r="F68" s="160"/>
      <c r="G68" s="160"/>
      <c r="H68" s="160"/>
      <c r="I68" s="160"/>
      <c r="J68" s="160"/>
      <c r="K68" s="161"/>
      <c r="L68" s="161"/>
      <c r="M68" s="161"/>
      <c r="N68" s="161"/>
      <c r="O68" s="161"/>
      <c r="P68" s="161"/>
      <c r="Q68" s="161"/>
      <c r="R68" s="162"/>
      <c r="U68" s="159"/>
      <c r="V68" s="153"/>
    </row>
    <row r="69" spans="2:22" s="163" customFormat="1" ht="15.5">
      <c r="B69" s="154" t="s">
        <v>225</v>
      </c>
      <c r="C69" s="528"/>
      <c r="D69" s="156">
        <f>'5.  2015-2020 LRAM'!Y388</f>
        <v>40796.842299999997</v>
      </c>
      <c r="E69" s="156">
        <f>'5.  2015-2020 LRAM'!Z388</f>
        <v>18249.907621619685</v>
      </c>
      <c r="F69" s="156">
        <f>'5.  2015-2020 LRAM'!AA388</f>
        <v>8347.3554746442042</v>
      </c>
      <c r="G69" s="156">
        <f>'5.  2015-2020 LRAM'!AB388</f>
        <v>9361.8166801716779</v>
      </c>
      <c r="H69" s="156">
        <f>'5.  2015-2020 LRAM'!AC388</f>
        <v>0</v>
      </c>
      <c r="I69" s="156">
        <f>'5.  2015-2020 LRAM'!AD388</f>
        <v>0</v>
      </c>
      <c r="J69" s="156">
        <f>'5.  2015-2020 LRAM'!AE388</f>
        <v>26869.841018294399</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103625.76309472995</v>
      </c>
      <c r="U69" s="152"/>
      <c r="V69" s="153"/>
    </row>
    <row r="70" spans="2:22" s="163" customFormat="1" ht="15.5">
      <c r="B70" s="154" t="s">
        <v>224</v>
      </c>
      <c r="C70" s="155"/>
      <c r="D70" s="156">
        <f>-'5.  2015-2020 LRAM'!Y389</f>
        <v>-7395.4226999999992</v>
      </c>
      <c r="E70" s="156">
        <f>-'5.  2015-2020 LRAM'!Z389</f>
        <v>-703.95659999999998</v>
      </c>
      <c r="F70" s="156">
        <f>-'5.  2015-2020 LRAM'!AA389</f>
        <v>-11930.039200000001</v>
      </c>
      <c r="G70" s="156">
        <f>-'5.  2015-2020 LRAM'!AB389</f>
        <v>-9480.0380999999998</v>
      </c>
      <c r="H70" s="156">
        <f>-'5.  2015-2020 LRAM'!AC389</f>
        <v>0</v>
      </c>
      <c r="I70" s="156">
        <f>-'5.  2015-2020 LRAM'!AD389</f>
        <v>0</v>
      </c>
      <c r="J70" s="156">
        <f>-'5.  2015-2020 LRAM'!AE389</f>
        <v>-41636.892599999999</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-71146.349199999997</v>
      </c>
      <c r="S70" s="158"/>
      <c r="U70" s="152"/>
      <c r="V70" s="153"/>
    </row>
    <row r="71" spans="2:22" s="136" customFormat="1" ht="15.5">
      <c r="B71" s="618" t="s">
        <v>67</v>
      </c>
      <c r="C71" s="614"/>
      <c r="D71" s="160"/>
      <c r="E71" s="160"/>
      <c r="F71" s="160"/>
      <c r="G71" s="160"/>
      <c r="H71" s="160"/>
      <c r="I71" s="160"/>
      <c r="J71" s="160"/>
      <c r="K71" s="161"/>
      <c r="L71" s="161"/>
      <c r="M71" s="161"/>
      <c r="N71" s="161"/>
      <c r="O71" s="161"/>
      <c r="P71" s="161"/>
      <c r="Q71" s="161"/>
      <c r="R71" s="162"/>
      <c r="U71" s="159"/>
      <c r="V71" s="153"/>
    </row>
    <row r="72" spans="2:22" s="163" customFormat="1" ht="15.5">
      <c r="B72" s="154" t="s">
        <v>227</v>
      </c>
      <c r="C72" s="528"/>
      <c r="D72" s="156">
        <f>'5.  2015-2020 LRAM'!Y572</f>
        <v>77876.822316610851</v>
      </c>
      <c r="E72" s="156">
        <f>'5.  2015-2020 LRAM'!Z572</f>
        <v>31127.437422443632</v>
      </c>
      <c r="F72" s="156">
        <f>'5.  2015-2020 LRAM'!AA572</f>
        <v>19202.204739168679</v>
      </c>
      <c r="G72" s="156">
        <f>'5.  2015-2020 LRAM'!AB572</f>
        <v>15548.071634929449</v>
      </c>
      <c r="H72" s="156">
        <f>'5.  2015-2020 LRAM'!AC572</f>
        <v>0</v>
      </c>
      <c r="I72" s="156">
        <f>'5.  2015-2020 LRAM'!AD572</f>
        <v>0</v>
      </c>
      <c r="J72" s="156">
        <f>'5.  2015-2020 LRAM'!AE572</f>
        <v>6233.5121686128005</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149988.0482817654</v>
      </c>
      <c r="U72" s="152"/>
      <c r="V72" s="153"/>
    </row>
    <row r="73" spans="2:22" s="163" customFormat="1" ht="15.5">
      <c r="B73" s="154" t="s">
        <v>226</v>
      </c>
      <c r="C73" s="155"/>
      <c r="D73" s="156">
        <f>-'5.  2015-2020 LRAM'!Y573</f>
        <v>-5460.1719000000003</v>
      </c>
      <c r="E73" s="156">
        <f>-'5.  2015-2020 LRAM'!Z573</f>
        <v>-748.88999999999999</v>
      </c>
      <c r="F73" s="156">
        <f>-'5.  2015-2020 LRAM'!AA573</f>
        <v>-12396.299200000001</v>
      </c>
      <c r="G73" s="156">
        <f>-'5.  2015-2020 LRAM'!AB573</f>
        <v>-9791.1839999999993</v>
      </c>
      <c r="H73" s="156">
        <f>-'5.  2015-2020 LRAM'!AC573</f>
        <v>0</v>
      </c>
      <c r="I73" s="156">
        <f>-'5.  2015-2020 LRAM'!AD573</f>
        <v>0</v>
      </c>
      <c r="J73" s="156">
        <f>-'5.  2015-2020 LRAM'!AE573</f>
        <v>-5757.6588000000002</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-34154.2039</v>
      </c>
      <c r="S73" s="158"/>
      <c r="U73" s="152"/>
      <c r="V73" s="153"/>
    </row>
    <row r="74" spans="2:22" s="136" customFormat="1" ht="15.5">
      <c r="B74" s="618" t="s">
        <v>67</v>
      </c>
      <c r="C74" s="614"/>
      <c r="D74" s="160"/>
      <c r="E74" s="160"/>
      <c r="F74" s="160"/>
      <c r="G74" s="160"/>
      <c r="H74" s="160"/>
      <c r="I74" s="160"/>
      <c r="J74" s="160"/>
      <c r="K74" s="161"/>
      <c r="L74" s="161"/>
      <c r="M74" s="161"/>
      <c r="N74" s="161"/>
      <c r="O74" s="161"/>
      <c r="P74" s="161"/>
      <c r="Q74" s="161"/>
      <c r="R74" s="162"/>
      <c r="U74" s="159"/>
      <c r="V74" s="153"/>
    </row>
    <row r="75" spans="2:22" s="163" customFormat="1" ht="15.5">
      <c r="B75" s="154" t="s">
        <v>229</v>
      </c>
      <c r="C75" s="528"/>
      <c r="D75" s="156">
        <f>'5.  2015-2020 LRAM'!Y756</f>
        <v>45360.234685135263</v>
      </c>
      <c r="E75" s="156">
        <f>'5.  2015-2020 LRAM'!Z756</f>
        <v>34883.287130563898</v>
      </c>
      <c r="F75" s="156">
        <f>'5.  2015-2020 LRAM'!AA756</f>
        <v>24093.610935685592</v>
      </c>
      <c r="G75" s="156">
        <f>'5.  2015-2020 LRAM'!AB756</f>
        <v>19285.805730783944</v>
      </c>
      <c r="H75" s="156">
        <f>'5.  2015-2020 LRAM'!AC756</f>
        <v>0</v>
      </c>
      <c r="I75" s="156">
        <f>'5.  2015-2020 LRAM'!AD756</f>
        <v>0</v>
      </c>
      <c r="J75" s="156">
        <f>'5.  2015-2020 LRAM'!AE756</f>
        <v>6466.1205263616012</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130089.0590085303</v>
      </c>
      <c r="U75" s="152"/>
      <c r="V75" s="153"/>
    </row>
    <row r="76" spans="2:22" s="163" customFormat="1" ht="16.5" customHeight="1">
      <c r="B76" s="154" t="s">
        <v>228</v>
      </c>
      <c r="C76" s="155"/>
      <c r="D76" s="156">
        <f>-'5.  2015-2020 LRAM'!Y757</f>
        <v>-3110.2244999999998</v>
      </c>
      <c r="E76" s="156">
        <f>-'5.  2015-2020 LRAM'!Z757</f>
        <v>-763.8678000000001</v>
      </c>
      <c r="F76" s="156">
        <f>-'5.  2015-2020 LRAM'!AA757</f>
        <v>-12573.641600000001</v>
      </c>
      <c r="G76" s="156">
        <f>-'5.  2015-2020 LRAM'!AB757</f>
        <v>-9931.3863999999994</v>
      </c>
      <c r="H76" s="156">
        <f>-'5.  2015-2020 LRAM'!AC757</f>
        <v>0</v>
      </c>
      <c r="I76" s="156">
        <f>-'5.  2015-2020 LRAM'!AD757</f>
        <v>0</v>
      </c>
      <c r="J76" s="156">
        <f>-'5.  2015-2020 LRAM'!AE757</f>
        <v>-5839.9974000000002</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-32219.117699999999</v>
      </c>
      <c r="S76" s="158"/>
      <c r="U76" s="152"/>
      <c r="V76" s="153"/>
    </row>
    <row r="77" spans="2:22" s="136" customFormat="1" ht="15.5">
      <c r="B77" s="618" t="s">
        <v>67</v>
      </c>
      <c r="C77" s="614"/>
      <c r="D77" s="160"/>
      <c r="E77" s="160"/>
      <c r="F77" s="160"/>
      <c r="G77" s="160"/>
      <c r="H77" s="160"/>
      <c r="I77" s="160"/>
      <c r="J77" s="160"/>
      <c r="K77" s="161"/>
      <c r="L77" s="161"/>
      <c r="M77" s="161"/>
      <c r="N77" s="161"/>
      <c r="O77" s="161"/>
      <c r="P77" s="161"/>
      <c r="Q77" s="161"/>
      <c r="R77" s="162"/>
      <c r="U77" s="159"/>
      <c r="V77" s="153"/>
    </row>
    <row r="78" spans="2:22" s="163" customFormat="1" ht="15.5">
      <c r="B78" s="154" t="s">
        <v>231</v>
      </c>
      <c r="C78" s="155"/>
      <c r="D78" s="156"/>
      <c r="E78" s="156"/>
      <c r="F78" s="156"/>
      <c r="G78" s="156"/>
      <c r="H78" s="156"/>
      <c r="I78" s="156"/>
      <c r="J78" s="156"/>
      <c r="K78" s="156"/>
      <c r="L78" s="156"/>
      <c r="M78" s="156"/>
      <c r="N78" s="156"/>
      <c r="O78" s="156"/>
      <c r="P78" s="156"/>
      <c r="Q78" s="156"/>
      <c r="R78" s="157"/>
      <c r="U78" s="152"/>
      <c r="V78" s="153"/>
    </row>
    <row r="79" spans="2:22" s="163" customFormat="1" ht="15.5">
      <c r="B79" s="154" t="s">
        <v>230</v>
      </c>
      <c r="C79" s="155"/>
      <c r="D79" s="156"/>
      <c r="E79" s="156"/>
      <c r="F79" s="156"/>
      <c r="G79" s="156"/>
      <c r="H79" s="156"/>
      <c r="I79" s="156"/>
      <c r="J79" s="156"/>
      <c r="K79" s="156"/>
      <c r="L79" s="156"/>
      <c r="M79" s="156"/>
      <c r="N79" s="156"/>
      <c r="O79" s="156"/>
      <c r="P79" s="156"/>
      <c r="Q79" s="156"/>
      <c r="R79" s="157"/>
      <c r="S79" s="158"/>
      <c r="U79" s="152"/>
      <c r="V79" s="153"/>
    </row>
    <row r="80" spans="2:22" s="136" customFormat="1" ht="15.5">
      <c r="B80" s="618" t="s">
        <v>67</v>
      </c>
      <c r="C80" s="614"/>
      <c r="D80" s="160"/>
      <c r="E80" s="160"/>
      <c r="F80" s="160"/>
      <c r="G80" s="160"/>
      <c r="H80" s="160"/>
      <c r="I80" s="160"/>
      <c r="J80" s="160"/>
      <c r="K80" s="161"/>
      <c r="L80" s="161"/>
      <c r="M80" s="161"/>
      <c r="N80" s="161"/>
      <c r="O80" s="161"/>
      <c r="P80" s="161"/>
      <c r="Q80" s="161"/>
      <c r="R80" s="162"/>
      <c r="U80" s="159"/>
      <c r="V80" s="153"/>
    </row>
    <row r="81" spans="2:22" s="163" customFormat="1" ht="15.5">
      <c r="B81" s="154" t="s">
        <v>233</v>
      </c>
      <c r="C81" s="528"/>
      <c r="D81" s="156"/>
      <c r="E81" s="156"/>
      <c r="F81" s="156"/>
      <c r="G81" s="156"/>
      <c r="H81" s="156"/>
      <c r="I81" s="156"/>
      <c r="J81" s="156"/>
      <c r="K81" s="156"/>
      <c r="L81" s="156"/>
      <c r="M81" s="156"/>
      <c r="N81" s="156"/>
      <c r="O81" s="156"/>
      <c r="P81" s="156"/>
      <c r="Q81" s="156"/>
      <c r="R81" s="157"/>
      <c r="U81" s="152"/>
      <c r="V81" s="153"/>
    </row>
    <row r="82" spans="2:22" s="163" customFormat="1" ht="15.5">
      <c r="B82" s="154" t="s">
        <v>232</v>
      </c>
      <c r="C82" s="155"/>
      <c r="D82" s="156"/>
      <c r="E82" s="156"/>
      <c r="F82" s="156"/>
      <c r="G82" s="156"/>
      <c r="H82" s="156"/>
      <c r="I82" s="156"/>
      <c r="J82" s="156"/>
      <c r="K82" s="156"/>
      <c r="L82" s="156"/>
      <c r="M82" s="156"/>
      <c r="N82" s="156"/>
      <c r="O82" s="156"/>
      <c r="P82" s="156"/>
      <c r="Q82" s="156"/>
      <c r="R82" s="157"/>
      <c r="S82" s="158"/>
      <c r="U82" s="152"/>
      <c r="V82" s="153"/>
    </row>
    <row r="83" spans="2:22" s="136" customFormat="1" ht="15.5">
      <c r="B83" s="618" t="s">
        <v>67</v>
      </c>
      <c r="C83" s="614"/>
      <c r="D83" s="160"/>
      <c r="E83" s="160"/>
      <c r="F83" s="160"/>
      <c r="G83" s="160"/>
      <c r="H83" s="160"/>
      <c r="I83" s="160"/>
      <c r="J83" s="160"/>
      <c r="K83" s="161"/>
      <c r="L83" s="161"/>
      <c r="M83" s="161"/>
      <c r="N83" s="161"/>
      <c r="O83" s="161"/>
      <c r="P83" s="161"/>
      <c r="Q83" s="161"/>
      <c r="R83" s="162"/>
      <c r="U83" s="159"/>
      <c r="V83" s="153"/>
    </row>
    <row r="84" spans="2:22" s="17" customFormat="1" ht="15.5">
      <c r="B84" s="615" t="s">
        <v>43</v>
      </c>
      <c r="C84" s="614"/>
      <c r="D84" s="671">
        <f>'6.  Carrying Charges'!I237</f>
        <v>10299.102433618413</v>
      </c>
      <c r="E84" s="671">
        <f>'6.  Carrying Charges'!J237</f>
        <v>6970.4416227476995</v>
      </c>
      <c r="F84" s="671">
        <f>'6.  Carrying Charges'!K237</f>
        <v>2557.8260142545346</v>
      </c>
      <c r="G84" s="671">
        <f>'6.  Carrying Charges'!L237</f>
        <v>1954.4843743759639</v>
      </c>
      <c r="H84" s="671">
        <f>'6.  Carrying Charges'!M237</f>
        <v>0</v>
      </c>
      <c r="I84" s="671">
        <f>'6.  Carrying Charges'!N237</f>
        <v>0</v>
      </c>
      <c r="J84" s="671">
        <f>'6.  Carrying Charges'!O237</f>
        <v>-874.37472369209672</v>
      </c>
      <c r="K84" s="671">
        <f>'6.  Carrying Charges'!P237</f>
        <v>0</v>
      </c>
      <c r="L84" s="671">
        <f>'6.  Carrying Charges'!Q237</f>
        <v>0</v>
      </c>
      <c r="M84" s="671">
        <f>'6.  Carrying Charges'!R237</f>
        <v>0</v>
      </c>
      <c r="N84" s="671">
        <f>'6.  Carrying Charges'!S237</f>
        <v>0</v>
      </c>
      <c r="O84" s="671">
        <f>'6.  Carrying Charges'!T237</f>
        <v>0</v>
      </c>
      <c r="P84" s="671">
        <f>'6.  Carrying Charges'!U237</f>
        <v>0</v>
      </c>
      <c r="Q84" s="671">
        <f>'6.  Carrying Charges'!V237</f>
        <v>0</v>
      </c>
      <c r="R84" s="672">
        <f>SUM(D84:Q84)</f>
        <v>20907.479721304509</v>
      </c>
      <c r="U84" s="152"/>
      <c r="V84" s="153"/>
    </row>
    <row r="85" spans="2:22" s="163" customFormat="1" ht="21.75" customHeight="1">
      <c r="B85" s="616" t="s">
        <v>240</v>
      </c>
      <c r="C85" s="617"/>
      <c r="D85" s="616">
        <f>SUM(D54:D80)+D84</f>
        <v>173700.01011871206</v>
      </c>
      <c r="E85" s="616">
        <f>SUM(E54:E80)+E84</f>
        <v>114462.4424380995</v>
      </c>
      <c r="F85" s="616">
        <f t="shared" si="2" ref="F85:Q85">SUM(F54:F80)+F84</f>
        <v>39113.566932664326</v>
      </c>
      <c r="G85" s="616">
        <f t="shared" si="2"/>
        <v>30619.462688391646</v>
      </c>
      <c r="H85" s="616">
        <f t="shared" si="2"/>
        <v>0</v>
      </c>
      <c r="I85" s="616">
        <f t="shared" si="2"/>
        <v>0</v>
      </c>
      <c r="J85" s="616">
        <f t="shared" si="2"/>
        <v>-12702.4814881113</v>
      </c>
      <c r="K85" s="616">
        <f t="shared" si="2"/>
        <v>0</v>
      </c>
      <c r="L85" s="616">
        <f t="shared" si="2"/>
        <v>0</v>
      </c>
      <c r="M85" s="616">
        <f t="shared" si="2"/>
        <v>0</v>
      </c>
      <c r="N85" s="616">
        <f t="shared" si="2"/>
        <v>0</v>
      </c>
      <c r="O85" s="616">
        <f t="shared" si="2"/>
        <v>0</v>
      </c>
      <c r="P85" s="616">
        <f t="shared" si="2"/>
        <v>0</v>
      </c>
      <c r="Q85" s="616">
        <f t="shared" si="2"/>
        <v>0</v>
      </c>
      <c r="R85" s="825">
        <f>SUM(R54:R80)+R84</f>
        <v>345193.00068975618</v>
      </c>
      <c r="U85" s="152"/>
      <c r="V85" s="153"/>
    </row>
    <row r="86" spans="2:22" ht="20.25" customHeight="1">
      <c r="B86" s="450" t="s">
        <v>535</v>
      </c>
      <c r="C86" s="595"/>
      <c r="D86" s="594"/>
      <c r="E86" s="594"/>
      <c r="F86" s="594"/>
      <c r="G86" s="594"/>
      <c r="H86" s="594"/>
      <c r="I86" s="594"/>
      <c r="J86" s="594"/>
      <c r="K86" s="594"/>
      <c r="L86" s="594"/>
      <c r="M86" s="594"/>
      <c r="N86" s="594"/>
      <c r="O86" s="594"/>
      <c r="P86" s="594"/>
      <c r="Q86" s="594"/>
      <c r="R86" s="594"/>
      <c r="V86" s="13"/>
    </row>
    <row r="87" spans="2:22" ht="20.25" customHeight="1">
      <c r="B87" s="613"/>
      <c r="C87" s="66"/>
      <c r="E87" s="9"/>
      <c r="V87" s="13"/>
    </row>
    <row r="88" spans="5:5" ht="14.5">
      <c r="E88" s="9"/>
    </row>
    <row r="89" spans="2:6" ht="21" customHeight="1" hidden="1">
      <c r="B89" s="118" t="s">
        <v>536</v>
      </c>
      <c r="F89" s="582"/>
    </row>
    <row r="90" spans="2:21" s="542" customFormat="1" ht="27.75" customHeight="1" hidden="1">
      <c r="B90" s="563" t="s">
        <v>556</v>
      </c>
      <c r="C90" s="559"/>
      <c r="D90" s="559"/>
      <c r="E90" s="566"/>
      <c r="F90" s="559"/>
      <c r="G90" s="559"/>
      <c r="H90" s="559"/>
      <c r="I90" s="559"/>
      <c r="J90" s="559"/>
      <c r="T90" s="543"/>
      <c r="U90" s="543"/>
    </row>
    <row r="91" spans="2:2" ht="11.25" customHeight="1" hidden="1">
      <c r="B91" s="110"/>
    </row>
    <row r="92" spans="2:21" s="555" customFormat="1" ht="25.5" customHeight="1" hidden="1">
      <c r="B92" s="557"/>
      <c r="C92" s="553">
        <v>2011</v>
      </c>
      <c r="D92" s="553">
        <v>2012</v>
      </c>
      <c r="E92" s="553">
        <v>2013</v>
      </c>
      <c r="F92" s="553">
        <v>2014</v>
      </c>
      <c r="G92" s="553">
        <v>2015</v>
      </c>
      <c r="H92" s="553">
        <v>2016</v>
      </c>
      <c r="I92" s="553">
        <v>2017</v>
      </c>
      <c r="J92" s="553">
        <v>2018</v>
      </c>
      <c r="K92" s="553">
        <v>2019</v>
      </c>
      <c r="L92" s="553">
        <v>2020</v>
      </c>
      <c r="M92" s="554" t="s">
        <v>26</v>
      </c>
      <c r="T92" s="556"/>
      <c r="U92" s="556"/>
    </row>
    <row r="93" spans="2:21" s="90" customFormat="1" ht="23.25" customHeight="1" hidden="1">
      <c r="B93" s="198">
        <v>2011</v>
      </c>
      <c r="C93" s="548">
        <f>'4.  2011-2014 LRAM'!AM131</f>
        <v>0</v>
      </c>
      <c r="D93" s="549">
        <f>SUM('4.  2011-2014 LRAM'!Y259:AL259)</f>
        <v>0</v>
      </c>
      <c r="E93" s="549">
        <f>SUM('4.  2011-2014 LRAM'!Y388:AL388)</f>
        <v>0</v>
      </c>
      <c r="F93" s="550">
        <f>SUM('4.  2011-2014 LRAM'!Y517:AL517)</f>
        <v>0</v>
      </c>
      <c r="G93" s="550">
        <f>SUM('5.  2015-2020 LRAM'!Y199:AL199)</f>
        <v>16148.015843705729</v>
      </c>
      <c r="H93" s="549">
        <f>SUM('5.  2015-2020 LRAM'!Y382:AL382)</f>
        <v>0</v>
      </c>
      <c r="I93" s="550">
        <f>SUM('5.  2015-2020 LRAM'!Y565:AL565)</f>
        <v>0</v>
      </c>
      <c r="J93" s="549">
        <f>SUM('5.  2015-2020 LRAM'!Y748:AL748)</f>
        <v>0</v>
      </c>
      <c r="K93" s="549">
        <f>SUM('5.  2015-2020 LRAM'!Y931:AL931)</f>
        <v>0</v>
      </c>
      <c r="L93" s="549">
        <f>SUM('5.  2015-2020 LRAM'!Y1114:AL1114)</f>
        <v>0</v>
      </c>
      <c r="M93" s="549">
        <f>SUM(C93:L93)</f>
        <v>16148.015843705729</v>
      </c>
      <c r="T93" s="197"/>
      <c r="U93" s="197"/>
    </row>
    <row r="94" spans="2:21" s="90" customFormat="1" ht="23.25" customHeight="1" hidden="1">
      <c r="B94" s="198">
        <v>2012</v>
      </c>
      <c r="C94" s="551"/>
      <c r="D94" s="550">
        <f>SUM('4.  2011-2014 LRAM'!Y260:AL260)</f>
        <v>0</v>
      </c>
      <c r="E94" s="549">
        <f>SUM('4.  2011-2014 LRAM'!Y389:AL389)</f>
        <v>0</v>
      </c>
      <c r="F94" s="550">
        <f>SUM('4.  2011-2014 LRAM'!Y518:AL518)</f>
        <v>0</v>
      </c>
      <c r="G94" s="550">
        <f>SUM('5.  2015-2020 LRAM'!Y200:AL200)</f>
        <v>15883.402843476162</v>
      </c>
      <c r="H94" s="549">
        <f>SUM('5.  2015-2020 LRAM'!Y383:AL383)</f>
        <v>0</v>
      </c>
      <c r="I94" s="550">
        <f>SUM('5.  2015-2020 LRAM'!Y566:AL566)</f>
        <v>0</v>
      </c>
      <c r="J94" s="549">
        <f>SUM('5.  2015-2020 LRAM'!Y749:AL749)</f>
        <v>0</v>
      </c>
      <c r="K94" s="549">
        <f>SUM('5.  2015-2020 LRAM'!Y932:AL932)</f>
        <v>0</v>
      </c>
      <c r="L94" s="549">
        <f>SUM('5.  2015-2020 LRAM'!Y1115:AL1115)</f>
        <v>0</v>
      </c>
      <c r="M94" s="549">
        <f>SUM(D94:L94)</f>
        <v>15883.402843476162</v>
      </c>
      <c r="T94" s="197"/>
      <c r="U94" s="197"/>
    </row>
    <row r="95" spans="2:21" s="90" customFormat="1" ht="23.25" customHeight="1" hidden="1">
      <c r="B95" s="198">
        <v>2013</v>
      </c>
      <c r="C95" s="552"/>
      <c r="D95" s="552"/>
      <c r="E95" s="550">
        <f>SUM('4.  2011-2014 LRAM'!Y390:AL390)</f>
        <v>0</v>
      </c>
      <c r="F95" s="550">
        <f>SUM('4.  2011-2014 LRAM'!Y519:AL519)</f>
        <v>0</v>
      </c>
      <c r="G95" s="550">
        <f>SUM('5.  2015-2020 LRAM'!Y201:AL201)</f>
        <v>18444.738270924394</v>
      </c>
      <c r="H95" s="549">
        <f>SUM('5.  2015-2020 LRAM'!Y384:AL384)</f>
        <v>0</v>
      </c>
      <c r="I95" s="550">
        <f>SUM('5.  2015-2020 LRAM'!Y567:AL567)</f>
        <v>0</v>
      </c>
      <c r="J95" s="549">
        <f>SUM('5.  2015-2020 LRAM'!Y750:AL750)</f>
        <v>0</v>
      </c>
      <c r="K95" s="549">
        <f>SUM('5.  2015-2020 LRAM'!Y933:AL933)</f>
        <v>0</v>
      </c>
      <c r="L95" s="549">
        <f>SUM('5.  2015-2020 LRAM'!Y1116:AL1116)</f>
        <v>0</v>
      </c>
      <c r="M95" s="549">
        <f>SUM(C95:L95)</f>
        <v>18444.738270924394</v>
      </c>
      <c r="T95" s="197"/>
      <c r="U95" s="197"/>
    </row>
    <row r="96" spans="2:21" s="90" customFormat="1" ht="23.25" customHeight="1" hidden="1">
      <c r="B96" s="198">
        <v>2014</v>
      </c>
      <c r="C96" s="552"/>
      <c r="D96" s="552"/>
      <c r="E96" s="552"/>
      <c r="F96" s="550">
        <f>SUM('4.  2011-2014 LRAM'!Y520:AL520)</f>
        <v>0</v>
      </c>
      <c r="G96" s="550">
        <f>SUM('5.  2015-2020 LRAM'!Y202:AL202)</f>
        <v>27923.198299988704</v>
      </c>
      <c r="H96" s="549">
        <f>SUM('5.  2015-2020 LRAM'!Y385:AL385)</f>
        <v>0</v>
      </c>
      <c r="I96" s="550">
        <f>SUM('5.  2015-2020 LRAM'!Y568:AL568)</f>
        <v>0</v>
      </c>
      <c r="J96" s="549">
        <f>SUM('5.  2015-2020 LRAM'!Y751:AL751)</f>
        <v>0</v>
      </c>
      <c r="K96" s="549">
        <f>SUM('5.  2015-2020 LRAM'!Y934:AL934)</f>
        <v>0</v>
      </c>
      <c r="L96" s="549">
        <f>SUM('5.  2015-2020 LRAM'!Y1117:AL1117)</f>
        <v>0</v>
      </c>
      <c r="M96" s="549">
        <f>SUM(F96:L96)</f>
        <v>27923.198299988704</v>
      </c>
      <c r="T96" s="197"/>
      <c r="U96" s="197"/>
    </row>
    <row r="97" spans="2:21" s="90" customFormat="1" ht="23.25" customHeight="1" hidden="1">
      <c r="B97" s="198">
        <v>2015</v>
      </c>
      <c r="C97" s="552"/>
      <c r="D97" s="552"/>
      <c r="E97" s="552"/>
      <c r="F97" s="552"/>
      <c r="G97" s="550">
        <f>SUM('5.  2015-2020 LRAM'!Y203:AL203)</f>
        <v>44924.846325331077</v>
      </c>
      <c r="H97" s="549">
        <f>SUM('5.  2015-2020 LRAM'!Y386:AL386)</f>
        <v>47125.150344772825</v>
      </c>
      <c r="I97" s="550">
        <f>SUM('5.  2015-2020 LRAM'!Y569:AL569)</f>
        <v>41595.726507498024</v>
      </c>
      <c r="J97" s="549">
        <f>SUM('5.  2015-2020 LRAM'!Y752:AL752)</f>
        <v>37976.295910600675</v>
      </c>
      <c r="K97" s="549">
        <f>SUM('5.  2015-2020 LRAM'!Y935:AL935)</f>
        <v>34219.127154383117</v>
      </c>
      <c r="L97" s="549">
        <f>SUM('5.  2015-2020 LRAM'!Y1118:AL1118)</f>
        <v>30679.444196893721</v>
      </c>
      <c r="M97" s="549">
        <f>SUM(G97:L97)</f>
        <v>236520.59043947945</v>
      </c>
      <c r="T97" s="197"/>
      <c r="U97" s="197"/>
    </row>
    <row r="98" spans="2:21" s="90" customFormat="1" ht="23.25" customHeight="1" hidden="1">
      <c r="B98" s="198">
        <v>2016</v>
      </c>
      <c r="C98" s="552"/>
      <c r="D98" s="552"/>
      <c r="E98" s="552"/>
      <c r="F98" s="552"/>
      <c r="G98" s="552"/>
      <c r="H98" s="549">
        <f>SUM('5.  2015-2020 LRAM'!Y387:AL387)</f>
        <v>56500.612749957138</v>
      </c>
      <c r="I98" s="550">
        <f>SUM('5.  2015-2020 LRAM'!Y570:AL570)</f>
        <v>30166.773673986787</v>
      </c>
      <c r="J98" s="549">
        <f>SUM('5.  2015-2020 LRAM'!Y753:AL753)</f>
        <v>21496.309235305318</v>
      </c>
      <c r="K98" s="549">
        <f>SUM('5.  2015-2020 LRAM'!Y936:AL936)</f>
        <v>12794.26778380508</v>
      </c>
      <c r="L98" s="549">
        <f>SUM('5.  2015-2020 LRAM'!Y1119:AL1119)</f>
        <v>9977.6047112730921</v>
      </c>
      <c r="M98" s="549">
        <f>SUM(H98:L98)</f>
        <v>130935.56815432741</v>
      </c>
      <c r="T98" s="197"/>
      <c r="U98" s="197"/>
    </row>
    <row r="99" spans="2:21" s="90" customFormat="1" ht="23.25" customHeight="1" hidden="1">
      <c r="B99" s="198">
        <v>2017</v>
      </c>
      <c r="C99" s="552"/>
      <c r="D99" s="552"/>
      <c r="E99" s="552"/>
      <c r="F99" s="552"/>
      <c r="G99" s="552"/>
      <c r="H99" s="552"/>
      <c r="I99" s="549">
        <f>SUM('5.  2015-2020 LRAM'!Y571:AL571)</f>
        <v>78225.54810028059</v>
      </c>
      <c r="J99" s="549">
        <f>SUM('5.  2015-2020 LRAM'!Y754:AL754)</f>
        <v>52390.38485239126</v>
      </c>
      <c r="K99" s="549">
        <f>SUM('5.  2015-2020 LRAM'!Y937:AL937)</f>
        <v>36493.771746516548</v>
      </c>
      <c r="L99" s="549">
        <f>SUM('5.  2015-2020 LRAM'!Y1120:AL1120)</f>
        <v>30107.25240381822</v>
      </c>
      <c r="M99" s="549">
        <f>SUM(I99:L99)</f>
        <v>197216.95710300663</v>
      </c>
      <c r="T99" s="197"/>
      <c r="U99" s="197"/>
    </row>
    <row r="100" spans="2:21" s="90" customFormat="1" ht="23.25" customHeight="1" hidden="1">
      <c r="B100" s="198">
        <v>2018</v>
      </c>
      <c r="C100" s="552"/>
      <c r="D100" s="552"/>
      <c r="E100" s="552"/>
      <c r="F100" s="552"/>
      <c r="G100" s="552"/>
      <c r="H100" s="552"/>
      <c r="I100" s="552"/>
      <c r="J100" s="549">
        <f>SUM('5.  2015-2020 LRAM'!Y755:AL755)</f>
        <v>18226.069010233045</v>
      </c>
      <c r="K100" s="549">
        <f>SUM('5.  2015-2020 LRAM'!Y938:AL938)</f>
        <v>13237.628566733492</v>
      </c>
      <c r="L100" s="549">
        <f>SUM('5.  2015-2020 LRAM'!Y1121:AL1121)</f>
        <v>11718.289242205266</v>
      </c>
      <c r="M100" s="549">
        <f>SUM(J100:L100)</f>
        <v>43181.986819171805</v>
      </c>
      <c r="T100" s="197"/>
      <c r="U100" s="197"/>
    </row>
    <row r="101" spans="2:21" s="90" customFormat="1" ht="23.25" customHeight="1" hidden="1">
      <c r="B101" s="198">
        <v>2019</v>
      </c>
      <c r="C101" s="552"/>
      <c r="D101" s="552"/>
      <c r="E101" s="552"/>
      <c r="F101" s="552"/>
      <c r="G101" s="552"/>
      <c r="H101" s="552"/>
      <c r="I101" s="552"/>
      <c r="J101" s="552"/>
      <c r="K101" s="549">
        <f>SUM('5.  2015-2020 LRAM'!Y939:AL939)</f>
        <v>1861.0930159347304</v>
      </c>
      <c r="L101" s="549">
        <f>SUM('5.  2015-2020 LRAM'!Y1122:AL1122)</f>
        <v>1880.6353781609346</v>
      </c>
      <c r="M101" s="549">
        <f>SUM(K101:L101)</f>
        <v>3741.728394095665</v>
      </c>
      <c r="T101" s="197"/>
      <c r="U101" s="197"/>
    </row>
    <row r="102" spans="2:21" s="90" customFormat="1" ht="23.25" customHeight="1" hidden="1">
      <c r="B102" s="198">
        <v>2020</v>
      </c>
      <c r="C102" s="552"/>
      <c r="D102" s="552"/>
      <c r="E102" s="552"/>
      <c r="F102" s="552"/>
      <c r="G102" s="552"/>
      <c r="H102" s="552"/>
      <c r="I102" s="552"/>
      <c r="J102" s="552"/>
      <c r="K102" s="552"/>
      <c r="L102" s="551">
        <f>SUM('5.  2015-2020 LRAM'!Y1123:AL1123)</f>
        <v>0</v>
      </c>
      <c r="M102" s="551">
        <f>L102</f>
        <v>0</v>
      </c>
      <c r="T102" s="197"/>
      <c r="U102" s="197"/>
    </row>
    <row r="103" spans="2:21" s="196" customFormat="1" ht="24" customHeight="1" hidden="1">
      <c r="B103" s="564" t="s">
        <v>518</v>
      </c>
      <c r="C103" s="548">
        <f>C93</f>
        <v>0</v>
      </c>
      <c r="D103" s="549">
        <f>D93+D94</f>
        <v>0</v>
      </c>
      <c r="E103" s="549">
        <f>E93+E94+E95</f>
        <v>0</v>
      </c>
      <c r="F103" s="549">
        <f>F93+F94+F95+F96</f>
        <v>0</v>
      </c>
      <c r="G103" s="549">
        <f>G93+G94+G95+G96+G97</f>
        <v>123324.20158342607</v>
      </c>
      <c r="H103" s="549">
        <f>H93+H94+H95+H96+H97+H98</f>
        <v>103625.76309472996</v>
      </c>
      <c r="I103" s="549">
        <f>I93+I94+I95+I96+I97+I98+I99</f>
        <v>149988.0482817654</v>
      </c>
      <c r="J103" s="549">
        <f>J93+J94+J95+J96+J97+J98+J99+J100</f>
        <v>130089.0590085303</v>
      </c>
      <c r="K103" s="549">
        <f>K93+K94+K95+K96+K97+K98+K99+K100+K101</f>
        <v>98605.888267372968</v>
      </c>
      <c r="L103" s="549">
        <f>SUM(L93:L102)</f>
        <v>84363.225932351241</v>
      </c>
      <c r="M103" s="549">
        <f>SUM(M93:M102)</f>
        <v>689996.18616817589</v>
      </c>
      <c r="T103" s="199"/>
      <c r="U103" s="199"/>
    </row>
    <row r="104" spans="2:21" s="27" customFormat="1" ht="24.75" customHeight="1" hidden="1">
      <c r="B104" s="565" t="s">
        <v>517</v>
      </c>
      <c r="C104" s="547">
        <f>'4.  2011-2014 LRAM'!AM132</f>
        <v>0</v>
      </c>
      <c r="D104" s="547">
        <f>'4.  2011-2014 LRAM'!AM262</f>
        <v>0</v>
      </c>
      <c r="E104" s="547">
        <f>'4.  2011-2014 LRAM'!AM392</f>
        <v>0</v>
      </c>
      <c r="F104" s="547">
        <f>'4.  2011-2014 LRAM'!AM522</f>
        <v>0</v>
      </c>
      <c r="G104" s="547">
        <f>'5.  2015-2020 LRAM'!AM205</f>
        <v>45221.8802</v>
      </c>
      <c r="H104" s="547">
        <f>'5.  2015-2020 LRAM'!AM389</f>
        <v>71146.349199999997</v>
      </c>
      <c r="I104" s="547">
        <f>'5.  2015-2020 LRAM'!AM573</f>
        <v>34154.2039</v>
      </c>
      <c r="J104" s="547">
        <f>'5.  2015-2020 LRAM'!AM757</f>
        <v>32219.117699999999</v>
      </c>
      <c r="K104" s="547">
        <f>'5.  2015-2020 LRAM'!AM941</f>
        <v>30273.3292</v>
      </c>
      <c r="L104" s="547">
        <f>'5.  2015-2020 LRAM'!AM1125</f>
        <v>0</v>
      </c>
      <c r="M104" s="549">
        <f>SUM(C104:L104)</f>
        <v>213014.88020000001</v>
      </c>
      <c r="T104" s="89"/>
      <c r="U104" s="89"/>
    </row>
    <row r="105" spans="2:13" ht="24.75" customHeight="1" hidden="1">
      <c r="B105" s="565" t="s">
        <v>43</v>
      </c>
      <c r="C105" s="547">
        <f>'6.  Carrying Charges'!W27</f>
        <v>0</v>
      </c>
      <c r="D105" s="547">
        <f>'6.  Carrying Charges'!W42</f>
        <v>0</v>
      </c>
      <c r="E105" s="547">
        <f>'6.  Carrying Charges'!W57</f>
        <v>0</v>
      </c>
      <c r="F105" s="547">
        <f>'6.  Carrying Charges'!W72</f>
        <v>0</v>
      </c>
      <c r="G105" s="547">
        <f>'6.  Carrying Charges'!W87</f>
        <v>399.78625758141214</v>
      </c>
      <c r="H105" s="547">
        <f>'6.  Carrying Charges'!W102</f>
        <v>1422.6621711850289</v>
      </c>
      <c r="I105" s="547">
        <f>'6.  Carrying Charges'!W117</f>
        <v>3430.1668302657736</v>
      </c>
      <c r="J105" s="547">
        <f>'6.  Carrying Charges'!W132</f>
        <v>8544.0942343822808</v>
      </c>
      <c r="K105" s="547">
        <f>'6.  Carrying Charges'!W147</f>
        <v>15832.411318148239</v>
      </c>
      <c r="L105" s="547">
        <f>'6.  Carrying Charges'!W162</f>
        <v>20291.337231464444</v>
      </c>
      <c r="M105" s="549">
        <f>SUM(C105:L105)</f>
        <v>49920.458043027174</v>
      </c>
    </row>
    <row r="106" spans="2:13" ht="23.25" customHeight="1" hidden="1">
      <c r="B106" s="564" t="s">
        <v>26</v>
      </c>
      <c r="C106" s="547">
        <f>C103-C104+C105</f>
        <v>0</v>
      </c>
      <c r="D106" s="547">
        <f t="shared" si="3" ref="D106:J106">D103-D104+D105</f>
        <v>0</v>
      </c>
      <c r="E106" s="547">
        <f t="shared" si="3"/>
        <v>0</v>
      </c>
      <c r="F106" s="547">
        <f t="shared" si="3"/>
        <v>0</v>
      </c>
      <c r="G106" s="547">
        <f t="shared" si="3"/>
        <v>78502.107641007475</v>
      </c>
      <c r="H106" s="547">
        <f t="shared" si="3"/>
        <v>33902.076065914996</v>
      </c>
      <c r="I106" s="547">
        <f t="shared" si="3"/>
        <v>119264.01121203118</v>
      </c>
      <c r="J106" s="547">
        <f t="shared" si="3"/>
        <v>106414.03554291258</v>
      </c>
      <c r="K106" s="547">
        <f>K103-K104+K105</f>
        <v>84164.970385521199</v>
      </c>
      <c r="L106" s="547">
        <f>L103-L104+L105</f>
        <v>104654.56316381568</v>
      </c>
      <c r="M106" s="547">
        <f>M103-M104+M105</f>
        <v>526901.76401120308</v>
      </c>
    </row>
    <row r="107" ht="15.5" hidden="1"/>
    <row r="108" spans="2:9" ht="16" thickBot="1">
      <c r="B108" s="582" t="s">
        <v>525</v>
      </c>
      <c r="D108" s="814">
        <v>2015</v>
      </c>
      <c r="E108" s="815">
        <v>2016</v>
      </c>
      <c r="F108" s="814">
        <v>2017</v>
      </c>
      <c r="G108" s="815">
        <v>2018</v>
      </c>
      <c r="H108" s="814">
        <v>2019</v>
      </c>
      <c r="I108" s="814"/>
    </row>
    <row r="109" spans="2:9" ht="15" thickBot="1">
      <c r="B109" s="877" t="s">
        <v>29</v>
      </c>
      <c r="C109" s="816" t="s">
        <v>823</v>
      </c>
      <c r="D109" s="813">
        <f>D66</f>
        <v>43857.091783347547</v>
      </c>
      <c r="E109" s="813">
        <f>D69</f>
        <v>40796.842299999997</v>
      </c>
      <c r="F109" s="813">
        <f>D72</f>
        <v>77876.822316610851</v>
      </c>
      <c r="G109" s="813">
        <f>D75</f>
        <v>45360.234685135263</v>
      </c>
      <c r="H109" s="813">
        <f>D78</f>
        <v>0</v>
      </c>
      <c r="I109" s="813">
        <f>SUM(D109:H110)</f>
        <v>163400.90768509364</v>
      </c>
    </row>
    <row r="110" spans="2:9" ht="15" thickBot="1">
      <c r="B110" s="878"/>
      <c r="C110" s="817" t="s">
        <v>824</v>
      </c>
      <c r="D110" s="813">
        <f>D67</f>
        <v>-28524.264300000003</v>
      </c>
      <c r="E110" s="813">
        <f>D70</f>
        <v>-7395.4226999999992</v>
      </c>
      <c r="F110" s="813">
        <f>D73</f>
        <v>-5460.1719000000003</v>
      </c>
      <c r="G110" s="813">
        <f>D76</f>
        <v>-3110.2244999999998</v>
      </c>
      <c r="H110" s="813">
        <f>D79</f>
        <v>0</v>
      </c>
      <c r="I110" s="813"/>
    </row>
    <row r="111" spans="2:9" ht="15" thickBot="1">
      <c r="B111" s="877" t="s">
        <v>825</v>
      </c>
      <c r="C111" s="817" t="s">
        <v>823</v>
      </c>
      <c r="D111" s="813">
        <f>E66</f>
        <v>30709.634040724584</v>
      </c>
      <c r="E111" s="813">
        <f>E69</f>
        <v>18249.907621619685</v>
      </c>
      <c r="F111" s="813">
        <f>E72</f>
        <v>31127.437422443632</v>
      </c>
      <c r="G111" s="813">
        <f>E75</f>
        <v>34883.287130563898</v>
      </c>
      <c r="H111" s="813">
        <f>E78</f>
        <v>0</v>
      </c>
      <c r="I111" s="813">
        <f>SUM(D111:H112)</f>
        <v>107492.00081535179</v>
      </c>
    </row>
    <row r="112" spans="2:9" ht="15" thickBot="1">
      <c r="B112" s="878"/>
      <c r="C112" s="817" t="s">
        <v>824</v>
      </c>
      <c r="D112" s="813">
        <f>E67</f>
        <v>-5261.5510000000004</v>
      </c>
      <c r="E112" s="813">
        <f>E70</f>
        <v>-703.95659999999998</v>
      </c>
      <c r="F112" s="813">
        <f>E73</f>
        <v>-748.88999999999999</v>
      </c>
      <c r="G112" s="813">
        <f>E76</f>
        <v>-763.8678000000001</v>
      </c>
      <c r="H112" s="813">
        <f>E79</f>
        <v>0</v>
      </c>
      <c r="I112" s="813"/>
    </row>
    <row r="113" spans="2:9" ht="15" thickBot="1">
      <c r="B113" s="877" t="s">
        <v>826</v>
      </c>
      <c r="C113" s="817" t="s">
        <v>823</v>
      </c>
      <c r="D113" s="813">
        <f>F66</f>
        <v>31335.532768911326</v>
      </c>
      <c r="E113" s="813">
        <f>F69</f>
        <v>8347.3554746442042</v>
      </c>
      <c r="F113" s="813">
        <f>F72</f>
        <v>19202.204739168679</v>
      </c>
      <c r="G113" s="813">
        <f>F75</f>
        <v>24093.610935685592</v>
      </c>
      <c r="H113" s="813">
        <f>F78</f>
        <v>0</v>
      </c>
      <c r="I113" s="813">
        <f>SUM(D113:H114)</f>
        <v>36555.740918409785</v>
      </c>
    </row>
    <row r="114" spans="2:9" ht="15" thickBot="1">
      <c r="B114" s="878"/>
      <c r="C114" s="817" t="s">
        <v>824</v>
      </c>
      <c r="D114" s="813">
        <f>F67</f>
        <v>-9522.9830000000002</v>
      </c>
      <c r="E114" s="813">
        <f>F70</f>
        <v>-11930.039200000001</v>
      </c>
      <c r="F114" s="813">
        <f>F73</f>
        <v>-12396.299200000001</v>
      </c>
      <c r="G114" s="813">
        <f>F76</f>
        <v>-12573.641600000001</v>
      </c>
      <c r="H114" s="813">
        <f>F79</f>
        <v>0</v>
      </c>
      <c r="I114" s="813"/>
    </row>
    <row r="115" spans="2:9" ht="15" thickBot="1">
      <c r="B115" s="877" t="s">
        <v>827</v>
      </c>
      <c r="C115" s="817" t="s">
        <v>823</v>
      </c>
      <c r="D115" s="813">
        <f>G66</f>
        <v>15584.974668130613</v>
      </c>
      <c r="E115" s="813">
        <f>G69</f>
        <v>9361.8166801716779</v>
      </c>
      <c r="F115" s="813">
        <f>G72</f>
        <v>15548.071634929449</v>
      </c>
      <c r="G115" s="813">
        <f>G75</f>
        <v>19285.805730783944</v>
      </c>
      <c r="H115" s="813">
        <f>G78</f>
        <v>0</v>
      </c>
      <c r="I115" s="813">
        <f>SUM(D115:H116)</f>
        <v>28664.978314015691</v>
      </c>
    </row>
    <row r="116" spans="2:9" ht="15" thickBot="1">
      <c r="B116" s="878"/>
      <c r="C116" s="817" t="s">
        <v>824</v>
      </c>
      <c r="D116" s="813">
        <f>G67</f>
        <v>-1913.0818999999999</v>
      </c>
      <c r="E116" s="813">
        <f>G70</f>
        <v>-9480.0380999999998</v>
      </c>
      <c r="F116" s="813">
        <f>G73</f>
        <v>-9791.1839999999993</v>
      </c>
      <c r="G116" s="813">
        <f>G76</f>
        <v>-9931.3863999999994</v>
      </c>
      <c r="H116" s="813">
        <f>G79</f>
        <v>0</v>
      </c>
      <c r="I116" s="813"/>
    </row>
    <row r="117" spans="2:9" ht="15" thickBot="1">
      <c r="B117" s="877" t="s">
        <v>775</v>
      </c>
      <c r="C117" s="817" t="s">
        <v>823</v>
      </c>
      <c r="D117" s="813">
        <f>H66</f>
        <v>0</v>
      </c>
      <c r="E117" s="813">
        <f>H69</f>
        <v>0</v>
      </c>
      <c r="F117" s="813">
        <f>H72</f>
        <v>0</v>
      </c>
      <c r="G117" s="813">
        <f>H75</f>
        <v>0</v>
      </c>
      <c r="H117" s="813">
        <f>H78</f>
        <v>0</v>
      </c>
      <c r="I117" s="813">
        <f>SUM(D117:H118)</f>
        <v>0</v>
      </c>
    </row>
    <row r="118" spans="2:9" ht="15" thickBot="1">
      <c r="B118" s="878"/>
      <c r="C118" s="817" t="s">
        <v>824</v>
      </c>
      <c r="D118" s="813">
        <f>H67</f>
        <v>0</v>
      </c>
      <c r="E118" s="813">
        <f>H70</f>
        <v>0</v>
      </c>
      <c r="F118" s="813">
        <f>H73</f>
        <v>0</v>
      </c>
      <c r="G118" s="813">
        <f>H76</f>
        <v>0</v>
      </c>
      <c r="H118" s="813">
        <f>H79</f>
        <v>0</v>
      </c>
      <c r="I118" s="813"/>
    </row>
    <row r="119" spans="2:9" ht="15" thickBot="1">
      <c r="B119" s="877" t="s">
        <v>828</v>
      </c>
      <c r="C119" s="817" t="s">
        <v>823</v>
      </c>
      <c r="D119" s="813">
        <f>I66</f>
        <v>0</v>
      </c>
      <c r="E119" s="813">
        <f>I69</f>
        <v>0</v>
      </c>
      <c r="F119" s="813">
        <f>I72</f>
        <v>0</v>
      </c>
      <c r="G119" s="813">
        <f>I75</f>
        <v>0</v>
      </c>
      <c r="H119" s="813">
        <f>I78</f>
        <v>0</v>
      </c>
      <c r="I119" s="813">
        <f>SUM(D119:H120)</f>
        <v>0</v>
      </c>
    </row>
    <row r="120" spans="2:9" ht="15" thickBot="1">
      <c r="B120" s="878"/>
      <c r="C120" s="817" t="s">
        <v>824</v>
      </c>
      <c r="D120" s="813">
        <f>I67</f>
        <v>0</v>
      </c>
      <c r="E120" s="813">
        <f>I70</f>
        <v>0</v>
      </c>
      <c r="F120" s="813">
        <f>I73</f>
        <v>0</v>
      </c>
      <c r="G120" s="813">
        <f>I76</f>
        <v>0</v>
      </c>
      <c r="H120" s="813">
        <f>I79</f>
        <v>0</v>
      </c>
      <c r="I120" s="813"/>
    </row>
    <row r="121" spans="2:9" ht="15" thickBot="1">
      <c r="B121" s="877" t="s">
        <v>31</v>
      </c>
      <c r="C121" s="817" t="s">
        <v>823</v>
      </c>
      <c r="D121" s="813">
        <f>J66</f>
        <v>1836.9683223119964</v>
      </c>
      <c r="E121" s="813">
        <f>J69</f>
        <v>26869.841018294399</v>
      </c>
      <c r="F121" s="813">
        <f>J72</f>
        <v>6233.5121686128005</v>
      </c>
      <c r="G121" s="813">
        <f>J75</f>
        <v>6466.1205263616012</v>
      </c>
      <c r="H121" s="813">
        <f>J78</f>
        <v>0</v>
      </c>
      <c r="I121" s="813">
        <f>SUM(D121:H122)</f>
        <v>-11828.106764419204</v>
      </c>
    </row>
    <row r="122" spans="2:9" ht="15" thickBot="1">
      <c r="B122" s="879"/>
      <c r="C122" s="818" t="s">
        <v>824</v>
      </c>
      <c r="D122" s="813">
        <f>J67</f>
        <v>0</v>
      </c>
      <c r="E122" s="813">
        <f>J70</f>
        <v>-41636.892599999999</v>
      </c>
      <c r="F122" s="813">
        <f>J73</f>
        <v>-5757.6588000000002</v>
      </c>
      <c r="G122" s="813">
        <f>J76</f>
        <v>-5839.9974000000002</v>
      </c>
      <c r="H122" s="813">
        <f>J79</f>
        <v>0</v>
      </c>
      <c r="I122" s="813"/>
    </row>
    <row r="123" spans="2:9" ht="15.5" thickTop="1" thickBot="1">
      <c r="B123" s="880" t="s">
        <v>26</v>
      </c>
      <c r="C123" s="817" t="s">
        <v>823</v>
      </c>
      <c r="D123" s="813">
        <f>D109+D111+D113+D115+D117+D119+D121</f>
        <v>123324.20158342605</v>
      </c>
      <c r="E123" s="813">
        <f t="shared" si="4" ref="E123:H123">E109+E111+E113+E115+E117+E119+E121</f>
        <v>103625.76309472995</v>
      </c>
      <c r="F123" s="813">
        <f t="shared" si="4"/>
        <v>149988.0482817654</v>
      </c>
      <c r="G123" s="813">
        <f t="shared" si="4"/>
        <v>130089.0590085303</v>
      </c>
      <c r="H123" s="813">
        <f t="shared" si="4"/>
        <v>0</v>
      </c>
      <c r="I123" s="813">
        <f>SUM(D123:H124)</f>
        <v>324285.52096845163</v>
      </c>
    </row>
    <row r="124" spans="2:9" ht="15" thickBot="1">
      <c r="B124" s="879"/>
      <c r="C124" s="818" t="s">
        <v>824</v>
      </c>
      <c r="D124" s="813">
        <f>D110+D112+D114+D116+D118+D120+D122</f>
        <v>-45221.8802</v>
      </c>
      <c r="E124" s="813">
        <f t="shared" si="5" ref="E124:H124">E110+E112+E114+E116+E118+E120+E122</f>
        <v>-71146.349199999997</v>
      </c>
      <c r="F124" s="813">
        <f t="shared" si="5"/>
        <v>-34154.2039</v>
      </c>
      <c r="G124" s="813">
        <f t="shared" si="5"/>
        <v>-32219.117699999999</v>
      </c>
      <c r="H124" s="813">
        <f t="shared" si="5"/>
        <v>0</v>
      </c>
      <c r="I124" s="813"/>
    </row>
    <row r="125" spans="4:9" ht="16.5" thickTop="1" thickBot="1">
      <c r="D125" s="812"/>
      <c r="I125" s="812"/>
    </row>
    <row r="126" spans="3:9" ht="15" thickBot="1">
      <c r="C126" s="819" t="s">
        <v>829</v>
      </c>
      <c r="D126" s="820" t="s">
        <v>41</v>
      </c>
      <c r="E126" s="820" t="s">
        <v>830</v>
      </c>
      <c r="F126" s="820" t="s">
        <v>43</v>
      </c>
      <c r="G126" s="820" t="s">
        <v>831</v>
      </c>
      <c r="H126" s="820" t="s">
        <v>832</v>
      </c>
      <c r="I126" s="820" t="s">
        <v>833</v>
      </c>
    </row>
    <row r="127" spans="3:9" ht="15" thickBot="1">
      <c r="C127" s="821" t="s">
        <v>29</v>
      </c>
      <c r="D127" s="817" t="s">
        <v>27</v>
      </c>
      <c r="E127" s="822">
        <f>I109</f>
        <v>163400.90768509364</v>
      </c>
      <c r="F127" s="822">
        <f>D84</f>
        <v>10299.102433618413</v>
      </c>
      <c r="G127" s="822">
        <f>E127+F127</f>
        <v>173700.01011871206</v>
      </c>
      <c r="H127" s="828">
        <v>20851.915728518619</v>
      </c>
      <c r="I127" s="827">
        <f>G127/H127/12/2</f>
        <v>0.34709043120265748</v>
      </c>
    </row>
    <row r="128" spans="3:9" ht="15" thickBot="1">
      <c r="C128" s="821" t="s">
        <v>825</v>
      </c>
      <c r="D128" s="817" t="s">
        <v>27</v>
      </c>
      <c r="E128" s="822">
        <f>I111</f>
        <v>107492.00081535179</v>
      </c>
      <c r="F128" s="822">
        <f>E84</f>
        <v>6970.4416227476995</v>
      </c>
      <c r="G128" s="822">
        <f t="shared" si="6" ref="G128:G134">E128+F128</f>
        <v>114462.44243809949</v>
      </c>
      <c r="H128" s="828">
        <v>50332121</v>
      </c>
      <c r="I128" s="827">
        <f>G128/H128/2</f>
        <v>0.0011370715177897975</v>
      </c>
    </row>
    <row r="129" spans="3:9" ht="15" thickBot="1">
      <c r="C129" s="821" t="s">
        <v>773</v>
      </c>
      <c r="D129" s="817" t="s">
        <v>28</v>
      </c>
      <c r="E129" s="822">
        <f>I113</f>
        <v>36555.740918409785</v>
      </c>
      <c r="F129" s="822">
        <f>F84</f>
        <v>2557.8260142545346</v>
      </c>
      <c r="G129" s="822">
        <f t="shared" si="6"/>
        <v>39113.566932664318</v>
      </c>
      <c r="H129" s="829">
        <v>411666</v>
      </c>
      <c r="I129" s="827">
        <f t="shared" si="7" ref="I129:I133">G129/H129/2</f>
        <v>0.04750643353187331</v>
      </c>
    </row>
    <row r="130" spans="3:9" ht="15" thickBot="1">
      <c r="C130" s="821" t="s">
        <v>827</v>
      </c>
      <c r="D130" s="817" t="s">
        <v>28</v>
      </c>
      <c r="E130" s="822">
        <f>I115</f>
        <v>28664.978314015691</v>
      </c>
      <c r="F130" s="822">
        <f>G84</f>
        <v>1954.4843743759639</v>
      </c>
      <c r="G130" s="822">
        <f t="shared" si="6"/>
        <v>30619.462688391654</v>
      </c>
      <c r="H130" s="830">
        <v>193029</v>
      </c>
      <c r="I130" s="827">
        <f t="shared" si="7"/>
        <v>0.07931311535673824</v>
      </c>
    </row>
    <row r="131" spans="3:9" ht="15" thickBot="1">
      <c r="C131" s="821" t="s">
        <v>775</v>
      </c>
      <c r="D131" s="817" t="s">
        <v>27</v>
      </c>
      <c r="E131" s="822">
        <f>I117</f>
        <v>0</v>
      </c>
      <c r="F131" s="822">
        <f>H84</f>
        <v>0</v>
      </c>
      <c r="G131" s="822">
        <f t="shared" si="6"/>
        <v>0</v>
      </c>
      <c r="H131" s="828">
        <v>962029.40999999968</v>
      </c>
      <c r="I131" s="827">
        <f t="shared" si="7"/>
        <v>0</v>
      </c>
    </row>
    <row r="132" spans="3:9" ht="15" thickBot="1">
      <c r="C132" s="821" t="s">
        <v>30</v>
      </c>
      <c r="D132" s="817" t="s">
        <v>28</v>
      </c>
      <c r="E132" s="822">
        <f>I119</f>
        <v>0</v>
      </c>
      <c r="F132" s="822">
        <f>I84</f>
        <v>0</v>
      </c>
      <c r="G132" s="822">
        <f t="shared" si="6"/>
        <v>0</v>
      </c>
      <c r="H132" s="828">
        <v>679.7399999999999</v>
      </c>
      <c r="I132" s="827">
        <f t="shared" si="7"/>
        <v>0</v>
      </c>
    </row>
    <row r="133" spans="3:9" ht="15" thickBot="1">
      <c r="C133" s="821" t="s">
        <v>31</v>
      </c>
      <c r="D133" s="817" t="s">
        <v>28</v>
      </c>
      <c r="E133" s="822">
        <f>I121</f>
        <v>-11828.106764419204</v>
      </c>
      <c r="F133" s="822">
        <f>J84</f>
        <v>-874.37472369209672</v>
      </c>
      <c r="G133" s="822">
        <f t="shared" si="6"/>
        <v>-12702.481488111302</v>
      </c>
      <c r="H133" s="829">
        <v>3105</v>
      </c>
      <c r="I133" s="827">
        <f t="shared" si="7"/>
        <v>-2.0454881623367633</v>
      </c>
    </row>
    <row r="134" spans="3:9" ht="15" thickBot="1">
      <c r="C134" s="821" t="s">
        <v>26</v>
      </c>
      <c r="D134" s="817"/>
      <c r="E134" s="822">
        <f>I123</f>
        <v>324285.52096845163</v>
      </c>
      <c r="F134" s="822">
        <f>R84</f>
        <v>20907.479721304509</v>
      </c>
      <c r="G134" s="822">
        <f t="shared" si="6"/>
        <v>345193.00068975613</v>
      </c>
      <c r="H134" s="823"/>
      <c r="I134" s="824"/>
    </row>
    <row r="135" spans="4:4" ht="15.5">
      <c r="D135" s="812"/>
    </row>
    <row r="136" spans="4:4" ht="15.5">
      <c r="D136" s="812"/>
    </row>
    <row r="137" spans="4:4" ht="15.5">
      <c r="D137" s="812"/>
    </row>
    <row r="138" spans="4:4" ht="15.5">
      <c r="D138" s="812"/>
    </row>
    <row r="157" spans="4:4" ht="15.5">
      <c r="D157" s="841"/>
    </row>
  </sheetData>
  <mergeCells count="28">
    <mergeCell ref="B119:B120"/>
    <mergeCell ref="B121:B122"/>
    <mergeCell ref="B123:B124"/>
    <mergeCell ref="B109:B110"/>
    <mergeCell ref="B111:B112"/>
    <mergeCell ref="B113:B114"/>
    <mergeCell ref="B115:B116"/>
    <mergeCell ref="B117:B118"/>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5" right="0.708661417322835" top="0.748031496062992" bottom="0.748031496062992" header="0.31496062992126" footer="0.31496062992126"/>
  <pageSetup fitToHeight="0" orientation="landscape" paperSize="5" scale="38" r:id="rId11"/>
  <headerFooter>
    <oddFooter>&amp;R&amp;P of &amp;N</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3074" r:id="rId1" name="Check Box 2">
              <controlPr defaultSize="0" autoLine="0" autoPict="0">
                <anchor moveWithCells="1">
                  <from>
                    <xdr:col>2</xdr:col>
                    <xdr:colOff>958850</xdr:colOff>
                    <xdr:row>53</xdr:row>
                    <xdr:rowOff>31750</xdr:rowOff>
                  </from>
                  <to>
                    <xdr:col>2</xdr:col>
                    <xdr:colOff>1377950</xdr:colOff>
                    <xdr:row>54</xdr:row>
                    <xdr:rowOff>158750</xdr:rowOff>
                  </to>
                </anchor>
              </controlPr>
            </control>
          </mc:Choice>
        </mc:AlternateContent>
        <mc:AlternateContent xmlns:mc="http://schemas.openxmlformats.org/markup-compatibility/2006">
          <mc:Choice Requires="x14">
            <control shapeId="3100" r:id="rId2" name="Check Box 28">
              <controlPr defaultSize="0" autoLine="0" autoPict="0">
                <anchor moveWithCells="1">
                  <from>
                    <xdr:col>2</xdr:col>
                    <xdr:colOff>958850</xdr:colOff>
                    <xdr:row>56</xdr:row>
                    <xdr:rowOff>31750</xdr:rowOff>
                  </from>
                  <to>
                    <xdr:col>2</xdr:col>
                    <xdr:colOff>1377950</xdr:colOff>
                    <xdr:row>57</xdr:row>
                    <xdr:rowOff>158750</xdr:rowOff>
                  </to>
                </anchor>
              </controlPr>
            </control>
          </mc:Choice>
        </mc:AlternateContent>
        <mc:AlternateContent xmlns:mc="http://schemas.openxmlformats.org/markup-compatibility/2006">
          <mc:Choice Requires="x14">
            <control shapeId="3101" r:id="rId3" name="Check Box 29">
              <controlPr defaultSize="0" autoLine="0" autoPict="0">
                <anchor moveWithCells="1">
                  <from>
                    <xdr:col>2</xdr:col>
                    <xdr:colOff>958850</xdr:colOff>
                    <xdr:row>59</xdr:row>
                    <xdr:rowOff>31750</xdr:rowOff>
                  </from>
                  <to>
                    <xdr:col>2</xdr:col>
                    <xdr:colOff>1377950</xdr:colOff>
                    <xdr:row>60</xdr:row>
                    <xdr:rowOff>158750</xdr:rowOff>
                  </to>
                </anchor>
              </controlPr>
            </control>
          </mc:Choice>
        </mc:AlternateContent>
        <mc:AlternateContent xmlns:mc="http://schemas.openxmlformats.org/markup-compatibility/2006">
          <mc:Choice Requires="x14">
            <control shapeId="3102" r:id="rId4" name="Check Box 30">
              <controlPr defaultSize="0" autoLine="0" autoPict="0">
                <anchor moveWithCells="1">
                  <from>
                    <xdr:col>2</xdr:col>
                    <xdr:colOff>958850</xdr:colOff>
                    <xdr:row>62</xdr:row>
                    <xdr:rowOff>31750</xdr:rowOff>
                  </from>
                  <to>
                    <xdr:col>2</xdr:col>
                    <xdr:colOff>1377950</xdr:colOff>
                    <xdr:row>63</xdr:row>
                    <xdr:rowOff>158750</xdr:rowOff>
                  </to>
                </anchor>
              </controlPr>
            </control>
          </mc:Choice>
        </mc:AlternateContent>
        <mc:AlternateContent xmlns:mc="http://schemas.openxmlformats.org/markup-compatibility/2006">
          <mc:Choice Requires="x14">
            <control shapeId="3103" r:id="rId5" name="Check Box 31">
              <controlPr defaultSize="0" autoLine="0" autoPict="0">
                <anchor moveWithCells="1">
                  <from>
                    <xdr:col>2</xdr:col>
                    <xdr:colOff>958850</xdr:colOff>
                    <xdr:row>65</xdr:row>
                    <xdr:rowOff>31750</xdr:rowOff>
                  </from>
                  <to>
                    <xdr:col>2</xdr:col>
                    <xdr:colOff>1377950</xdr:colOff>
                    <xdr:row>66</xdr:row>
                    <xdr:rowOff>158750</xdr:rowOff>
                  </to>
                </anchor>
              </controlPr>
            </control>
          </mc:Choice>
        </mc:AlternateContent>
        <mc:AlternateContent xmlns:mc="http://schemas.openxmlformats.org/markup-compatibility/2006">
          <mc:Choice Requires="x14">
            <control shapeId="3104" r:id="rId6" name="Check Box 32">
              <controlPr defaultSize="0" autoLine="0" autoPict="0">
                <anchor moveWithCells="1">
                  <from>
                    <xdr:col>2</xdr:col>
                    <xdr:colOff>958850</xdr:colOff>
                    <xdr:row>68</xdr:row>
                    <xdr:rowOff>38100</xdr:rowOff>
                  </from>
                  <to>
                    <xdr:col>2</xdr:col>
                    <xdr:colOff>1377950</xdr:colOff>
                    <xdr:row>70</xdr:row>
                    <xdr:rowOff>0</xdr:rowOff>
                  </to>
                </anchor>
              </controlPr>
            </control>
          </mc:Choice>
        </mc:AlternateContent>
        <mc:AlternateContent xmlns:mc="http://schemas.openxmlformats.org/markup-compatibility/2006">
          <mc:Choice Requires="x14">
            <control shapeId="3105" r:id="rId7" name="Check Box 33">
              <controlPr defaultSize="0" autoLine="0" autoPict="0">
                <anchor moveWithCells="1">
                  <from>
                    <xdr:col>2</xdr:col>
                    <xdr:colOff>958850</xdr:colOff>
                    <xdr:row>71</xdr:row>
                    <xdr:rowOff>38100</xdr:rowOff>
                  </from>
                  <to>
                    <xdr:col>2</xdr:col>
                    <xdr:colOff>1377950</xdr:colOff>
                    <xdr:row>73</xdr:row>
                    <xdr:rowOff>0</xdr:rowOff>
                  </to>
                </anchor>
              </controlPr>
            </control>
          </mc:Choice>
        </mc:AlternateContent>
        <mc:AlternateContent xmlns:mc="http://schemas.openxmlformats.org/markup-compatibility/2006">
          <mc:Choice Requires="x14">
            <control shapeId="3106" r:id="rId8" name="Check Box 34">
              <controlPr defaultSize="0" autoLine="0" autoPict="0">
                <anchor moveWithCells="1">
                  <from>
                    <xdr:col>2</xdr:col>
                    <xdr:colOff>952500</xdr:colOff>
                    <xdr:row>74</xdr:row>
                    <xdr:rowOff>38100</xdr:rowOff>
                  </from>
                  <to>
                    <xdr:col>2</xdr:col>
                    <xdr:colOff>1371600</xdr:colOff>
                    <xdr:row>75</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4:H157"/>
  <sheetViews>
    <sheetView zoomScale="80" zoomScaleNormal="80" workbookViewId="0" topLeftCell="A22">
      <selection pane="topLeft" activeCell="G46" sqref="G46:H46"/>
    </sheetView>
  </sheetViews>
  <sheetFormatPr defaultColWidth="9.00428571428571" defaultRowHeight="14.5"/>
  <cols>
    <col min="1" max="1" width="5.42857142857143" style="12" customWidth="1"/>
    <col min="2" max="2" width="27" style="12" customWidth="1"/>
    <col min="3" max="3" width="24.4285714285714" style="12" customWidth="1"/>
    <col min="4" max="4" width="27.1428571428571" style="12" customWidth="1"/>
    <col min="5" max="5" width="28.5714285714286" style="12" customWidth="1"/>
    <col min="6" max="6" width="44" style="12" customWidth="1"/>
    <col min="7" max="7" width="72.5714285714286" style="12" customWidth="1"/>
    <col min="8" max="16384" width="9" style="12"/>
  </cols>
  <sheetData>
    <row r="13" ht="15" thickBot="1"/>
    <row r="14" spans="2:3" ht="26.25" customHeight="1" thickBot="1">
      <c r="B14" s="530" t="s">
        <v>171</v>
      </c>
      <c r="C14" s="126" t="s">
        <v>175</v>
      </c>
    </row>
    <row r="15" spans="3:3" ht="26.25" customHeight="1" thickBot="1">
      <c r="C15" s="128" t="s">
        <v>406</v>
      </c>
    </row>
    <row r="16" spans="3:3" ht="27" customHeight="1" thickBot="1">
      <c r="C16" s="562" t="s">
        <v>550</v>
      </c>
    </row>
    <row r="19" spans="2:2" ht="15.5">
      <c r="B19" s="530" t="s">
        <v>614</v>
      </c>
    </row>
    <row r="20" ht="13.5" customHeight="1"/>
    <row r="21" spans="2:8" ht="41.15" customHeight="1">
      <c r="B21" s="872" t="s">
        <v>677</v>
      </c>
      <c r="C21" s="872"/>
      <c r="D21" s="872"/>
      <c r="E21" s="872"/>
      <c r="F21" s="872"/>
      <c r="G21" s="872"/>
      <c r="H21" s="872"/>
    </row>
    <row r="23" spans="2:8" s="602" customFormat="1" ht="15.5">
      <c r="B23" s="612" t="s">
        <v>545</v>
      </c>
      <c r="C23" s="612" t="s">
        <v>560</v>
      </c>
      <c r="D23" s="612" t="s">
        <v>544</v>
      </c>
      <c r="E23" s="883" t="s">
        <v>34</v>
      </c>
      <c r="F23" s="884"/>
      <c r="G23" s="883" t="s">
        <v>543</v>
      </c>
      <c r="H23" s="884"/>
    </row>
    <row r="24" spans="2:8" ht="14.5">
      <c r="B24" s="601">
        <v>1</v>
      </c>
      <c r="C24" s="636" t="s">
        <v>369</v>
      </c>
      <c r="D24" s="600"/>
      <c r="E24" s="881" t="s">
        <v>821</v>
      </c>
      <c r="F24" s="882"/>
      <c r="G24" s="885" t="s">
        <v>822</v>
      </c>
      <c r="H24" s="886"/>
    </row>
    <row r="25" spans="2:8" ht="14.5">
      <c r="B25" s="601">
        <v>2</v>
      </c>
      <c r="C25" s="636" t="s">
        <v>557</v>
      </c>
      <c r="D25" s="600"/>
      <c r="E25" s="881" t="s">
        <v>819</v>
      </c>
      <c r="F25" s="882"/>
      <c r="G25" s="885" t="s">
        <v>820</v>
      </c>
      <c r="H25" s="886"/>
    </row>
    <row r="26" spans="2:8" ht="14.5">
      <c r="B26" s="601">
        <v>3</v>
      </c>
      <c r="C26" s="636" t="s">
        <v>370</v>
      </c>
      <c r="D26" s="600"/>
      <c r="E26" s="881" t="s">
        <v>817</v>
      </c>
      <c r="F26" s="882"/>
      <c r="G26" s="885" t="s">
        <v>818</v>
      </c>
      <c r="H26" s="886"/>
    </row>
    <row r="27" spans="2:8" ht="14.5">
      <c r="B27" s="601">
        <v>4</v>
      </c>
      <c r="C27" s="636"/>
      <c r="D27" s="600"/>
      <c r="E27" s="881"/>
      <c r="F27" s="882"/>
      <c r="G27" s="885"/>
      <c r="H27" s="886"/>
    </row>
    <row r="28" spans="2:8" ht="14.5">
      <c r="B28" s="601">
        <v>5</v>
      </c>
      <c r="C28" s="636"/>
      <c r="D28" s="600"/>
      <c r="E28" s="881"/>
      <c r="F28" s="882"/>
      <c r="G28" s="885"/>
      <c r="H28" s="886"/>
    </row>
    <row r="29" spans="2:8" ht="14.5">
      <c r="B29" s="601">
        <v>6</v>
      </c>
      <c r="C29" s="636"/>
      <c r="D29" s="600"/>
      <c r="E29" s="881"/>
      <c r="F29" s="882"/>
      <c r="G29" s="885"/>
      <c r="H29" s="886"/>
    </row>
    <row r="30" spans="2:8" ht="14.5">
      <c r="B30" s="601">
        <v>7</v>
      </c>
      <c r="C30" s="636"/>
      <c r="D30" s="600"/>
      <c r="E30" s="881"/>
      <c r="F30" s="882"/>
      <c r="G30" s="885"/>
      <c r="H30" s="886"/>
    </row>
    <row r="31" spans="2:8" ht="14.5">
      <c r="B31" s="601">
        <v>8</v>
      </c>
      <c r="C31" s="636"/>
      <c r="D31" s="600"/>
      <c r="E31" s="881"/>
      <c r="F31" s="882"/>
      <c r="G31" s="885"/>
      <c r="H31" s="886"/>
    </row>
    <row r="32" spans="2:8" ht="14.5">
      <c r="B32" s="601">
        <v>9</v>
      </c>
      <c r="C32" s="636"/>
      <c r="D32" s="600"/>
      <c r="E32" s="881"/>
      <c r="F32" s="882"/>
      <c r="G32" s="885"/>
      <c r="H32" s="886"/>
    </row>
    <row r="33" spans="2:8" ht="14.5">
      <c r="B33" s="601">
        <v>10</v>
      </c>
      <c r="C33" s="636"/>
      <c r="D33" s="600"/>
      <c r="E33" s="881"/>
      <c r="F33" s="882"/>
      <c r="G33" s="885"/>
      <c r="H33" s="886"/>
    </row>
    <row r="34" spans="2:8" ht="14.5">
      <c r="B34" s="601" t="s">
        <v>479</v>
      </c>
      <c r="C34" s="636"/>
      <c r="D34" s="600"/>
      <c r="E34" s="881"/>
      <c r="F34" s="882"/>
      <c r="G34" s="885"/>
      <c r="H34" s="886"/>
    </row>
    <row r="36" spans="2:2" ht="30.75" customHeight="1">
      <c r="B36" s="530" t="s">
        <v>610</v>
      </c>
    </row>
    <row r="37" spans="2:8" ht="23.25" customHeight="1">
      <c r="B37" s="561" t="s">
        <v>615</v>
      </c>
      <c r="C37" s="598"/>
      <c r="D37" s="598"/>
      <c r="E37" s="598"/>
      <c r="F37" s="598"/>
      <c r="G37" s="598"/>
      <c r="H37" s="598"/>
    </row>
    <row r="39" spans="2:8" s="90" customFormat="1" ht="15.5">
      <c r="B39" s="612" t="s">
        <v>545</v>
      </c>
      <c r="C39" s="612" t="s">
        <v>560</v>
      </c>
      <c r="D39" s="612" t="s">
        <v>544</v>
      </c>
      <c r="E39" s="883" t="s">
        <v>34</v>
      </c>
      <c r="F39" s="884"/>
      <c r="G39" s="883" t="s">
        <v>543</v>
      </c>
      <c r="H39" s="884"/>
    </row>
    <row r="40" spans="2:8" ht="14.5">
      <c r="B40" s="601">
        <v>1</v>
      </c>
      <c r="C40" s="636" t="s">
        <v>835</v>
      </c>
      <c r="D40" s="600" t="s">
        <v>836</v>
      </c>
      <c r="E40" s="881" t="s">
        <v>837</v>
      </c>
      <c r="F40" s="882"/>
      <c r="G40" s="885" t="s">
        <v>838</v>
      </c>
      <c r="H40" s="886"/>
    </row>
    <row r="41" spans="2:8" ht="14.5">
      <c r="B41" s="601">
        <v>2</v>
      </c>
      <c r="C41" s="636" t="s">
        <v>835</v>
      </c>
      <c r="D41" s="600" t="s">
        <v>853</v>
      </c>
      <c r="E41" s="881" t="s">
        <v>854</v>
      </c>
      <c r="F41" s="882"/>
      <c r="G41" s="885" t="s">
        <v>855</v>
      </c>
      <c r="H41" s="886"/>
    </row>
    <row r="42" spans="2:8" ht="14.5">
      <c r="B42" s="601">
        <v>3</v>
      </c>
      <c r="C42" s="636" t="s">
        <v>369</v>
      </c>
      <c r="D42" s="600" t="s">
        <v>856</v>
      </c>
      <c r="E42" s="881" t="s">
        <v>857</v>
      </c>
      <c r="F42" s="882"/>
      <c r="G42" s="885" t="s">
        <v>858</v>
      </c>
      <c r="H42" s="886"/>
    </row>
    <row r="43" spans="2:8" ht="14.5">
      <c r="B43" s="601">
        <v>4</v>
      </c>
      <c r="C43" s="636" t="s">
        <v>557</v>
      </c>
      <c r="D43" s="600" t="s">
        <v>859</v>
      </c>
      <c r="E43" s="881" t="s">
        <v>860</v>
      </c>
      <c r="F43" s="882"/>
      <c r="G43" s="885" t="s">
        <v>861</v>
      </c>
      <c r="H43" s="886"/>
    </row>
    <row r="44" spans="2:8" ht="14.5">
      <c r="B44" s="601">
        <v>5</v>
      </c>
      <c r="C44" s="636" t="s">
        <v>369</v>
      </c>
      <c r="D44" s="600" t="s">
        <v>862</v>
      </c>
      <c r="E44" s="881" t="s">
        <v>865</v>
      </c>
      <c r="F44" s="882"/>
      <c r="G44" s="885" t="str">
        <f>G43</f>
        <v>Not originally included in LRAMVA calculation</v>
      </c>
      <c r="H44" s="886"/>
    </row>
    <row r="45" spans="2:8" ht="14.5">
      <c r="B45" s="601">
        <v>6</v>
      </c>
      <c r="C45" s="636" t="str">
        <f>C44</f>
        <v>5.  2015-2020 LRAM</v>
      </c>
      <c r="D45" s="600" t="s">
        <v>863</v>
      </c>
      <c r="E45" s="881" t="s">
        <v>864</v>
      </c>
      <c r="F45" s="882"/>
      <c r="G45" s="885" t="str">
        <f>G44</f>
        <v>Not originally included in LRAMVA calculation</v>
      </c>
      <c r="H45" s="886"/>
    </row>
    <row r="46" spans="2:8" ht="14.5">
      <c r="B46" s="601">
        <v>7</v>
      </c>
      <c r="C46" s="636"/>
      <c r="D46" s="600"/>
      <c r="E46" s="881"/>
      <c r="F46" s="882"/>
      <c r="G46" s="885"/>
      <c r="H46" s="886"/>
    </row>
    <row r="47" spans="2:8" ht="14.5">
      <c r="B47" s="601">
        <v>8</v>
      </c>
      <c r="C47" s="636"/>
      <c r="D47" s="600"/>
      <c r="E47" s="881"/>
      <c r="F47" s="882"/>
      <c r="G47" s="885"/>
      <c r="H47" s="886"/>
    </row>
    <row r="48" spans="2:8" ht="14.5">
      <c r="B48" s="601">
        <v>9</v>
      </c>
      <c r="C48" s="636"/>
      <c r="D48" s="600"/>
      <c r="E48" s="881"/>
      <c r="F48" s="882"/>
      <c r="G48" s="885"/>
      <c r="H48" s="886"/>
    </row>
    <row r="49" spans="2:8" ht="14.5">
      <c r="B49" s="601">
        <v>10</v>
      </c>
      <c r="C49" s="636"/>
      <c r="D49" s="600"/>
      <c r="E49" s="881"/>
      <c r="F49" s="882"/>
      <c r="G49" s="885"/>
      <c r="H49" s="886"/>
    </row>
    <row r="50" spans="2:8" ht="14.5">
      <c r="B50" s="601" t="s">
        <v>479</v>
      </c>
      <c r="C50" s="636"/>
      <c r="D50" s="600"/>
      <c r="E50" s="881"/>
      <c r="F50" s="882"/>
      <c r="G50" s="885"/>
      <c r="H50" s="886"/>
    </row>
    <row r="157" spans="4:4" ht="14.5">
      <c r="D157" s="84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dataValidations count="1">
    <dataValidation type="list" allowBlank="1" showInputMessage="1" showErrorMessage="1" sqref="C24:C34 C42:C50">
      <formula1>DropDownList!$F$2:$F$8</formula1>
    </dataValidation>
  </dataValidations>
  <pageMargins left="0.708661417322835" right="0.708661417322835" top="0.748031496062992" bottom="0.748031496062992" header="0.31496062992126" footer="0.31496062992126"/>
  <pageSetup orientation="landscape" paperSize="17" scale="72" r:id="rId2"/>
  <headerFooter>
    <oddFooter>&amp;R&amp;P of &amp;N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AF157"/>
  <sheetViews>
    <sheetView zoomScale="70" zoomScaleNormal="70" workbookViewId="0" topLeftCell="A46">
      <selection pane="topLeft" activeCell="D157" sqref="D157"/>
    </sheetView>
  </sheetViews>
  <sheetFormatPr defaultColWidth="9.00428571428571" defaultRowHeight="14.5"/>
  <cols>
    <col min="1" max="1" width="5.42857142857143" style="12" customWidth="1"/>
    <col min="2" max="2" width="27.4285714285714" style="10" customWidth="1"/>
    <col min="3" max="3" width="23" style="10" customWidth="1"/>
    <col min="4" max="4" width="32.4285714285714" style="12" customWidth="1"/>
    <col min="5" max="5" width="26.4285714285714" style="12" customWidth="1"/>
    <col min="6" max="6" width="24" style="12" customWidth="1"/>
    <col min="7" max="7" width="21.4285714285714" style="12" customWidth="1"/>
    <col min="8" max="8" width="24" style="12" customWidth="1"/>
    <col min="9" max="13" width="22" style="12" customWidth="1"/>
    <col min="14" max="14" width="26" style="12" customWidth="1"/>
    <col min="15" max="16" width="22" style="12" customWidth="1"/>
    <col min="17" max="17" width="16.4285714285714" style="12" customWidth="1"/>
    <col min="18" max="18" width="13.5714285714286" style="12" customWidth="1"/>
    <col min="19" max="19" width="14" style="12" customWidth="1"/>
    <col min="20" max="20" width="20" style="12" customWidth="1"/>
    <col min="21" max="21" width="10" style="12" customWidth="1"/>
    <col min="22" max="30" width="14" style="12" customWidth="1"/>
    <col min="31" max="16384" width="9" style="12"/>
  </cols>
  <sheetData>
    <row r="1"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3"/>
      <c r="D4" s="257"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61" t="s">
        <v>172</v>
      </c>
      <c r="E6" s="435"/>
      <c r="F6" s="435"/>
      <c r="G6" s="435"/>
      <c r="H6" s="435"/>
      <c r="I6" s="435"/>
      <c r="J6" s="435"/>
      <c r="K6" s="435"/>
      <c r="L6" s="435"/>
      <c r="M6" s="435"/>
      <c r="N6" s="435"/>
      <c r="O6" s="435"/>
      <c r="P6" s="435"/>
      <c r="Q6" s="454"/>
    </row>
    <row r="7" spans="4:17" s="104" customFormat="1" ht="29.25" customHeight="1" thickBot="1">
      <c r="D7" s="562" t="s">
        <v>550</v>
      </c>
      <c r="P7" s="105"/>
      <c r="Q7" s="105"/>
    </row>
    <row r="8" spans="4:17" s="104" customFormat="1" ht="30" customHeight="1">
      <c r="D8" s="567"/>
      <c r="P8" s="105"/>
      <c r="Q8" s="105"/>
    </row>
    <row r="9" spans="2:4" s="2" customFormat="1" ht="24.75" customHeight="1">
      <c r="B9" s="118" t="s">
        <v>411</v>
      </c>
      <c r="C9" s="17"/>
      <c r="D9" s="452">
        <v>2016</v>
      </c>
    </row>
    <row r="10" s="17" customFormat="1" ht="16.5" customHeight="1"/>
    <row r="11" spans="2:17" s="17" customFormat="1" ht="36.75" customHeight="1">
      <c r="B11" s="887" t="s">
        <v>742</v>
      </c>
      <c r="C11" s="887"/>
      <c r="D11" s="887"/>
      <c r="E11" s="887"/>
      <c r="F11" s="887"/>
      <c r="G11" s="887"/>
      <c r="H11" s="887"/>
      <c r="I11" s="887"/>
      <c r="J11" s="887"/>
      <c r="K11" s="887"/>
      <c r="L11" s="887"/>
      <c r="M11" s="887"/>
      <c r="N11" s="607"/>
      <c r="O11" s="607"/>
      <c r="P11" s="607"/>
      <c r="Q11" s="607"/>
    </row>
    <row r="12" spans="4:4" s="2" customFormat="1" ht="15.75" customHeight="1">
      <c r="D12" s="20"/>
    </row>
    <row r="13" spans="3:17" s="17" customFormat="1" ht="48" customHeight="1">
      <c r="C13" s="243" t="str">
        <f>'1.  LRAMVA Summary'!R52</f>
        <v>Total</v>
      </c>
      <c r="D13" s="243" t="str">
        <f>'1.  LRAMVA Summary'!D52</f>
        <v>Residential</v>
      </c>
      <c r="E13" s="243" t="str">
        <f>'1.  LRAMVA Summary'!E52</f>
        <v>GS&lt;50 kW</v>
      </c>
      <c r="F13" s="243" t="str">
        <f>'1.  LRAMVA Summary'!F52</f>
        <v>GS 50 - 999 kW</v>
      </c>
      <c r="G13" s="243" t="str">
        <f>'1.  LRAMVA Summary'!G52</f>
        <v>GS 1,000 - 4,999 kW</v>
      </c>
      <c r="H13" s="243" t="str">
        <f>'1.  LRAMVA Summary'!H52</f>
        <v>USL</v>
      </c>
      <c r="I13" s="243" t="str">
        <f>'1.  LRAMVA Summary'!I52</f>
        <v>Sentinel Lighting</v>
      </c>
      <c r="J13" s="243" t="str">
        <f>'1.  LRAMVA Summary'!J52</f>
        <v>Street Lighting</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1"/>
      <c r="D14" s="572" t="str">
        <f>'1.  LRAMVA Summary'!D53</f>
        <v>kWh</v>
      </c>
      <c r="E14" s="572" t="str">
        <f>'1.  LRAMVA Summary'!E53</f>
        <v>kWh</v>
      </c>
      <c r="F14" s="572" t="str">
        <f>'1.  LRAMVA Summary'!F53</f>
        <v>kW</v>
      </c>
      <c r="G14" s="572" t="str">
        <f>'1.  LRAMVA Summary'!G53</f>
        <v>kW</v>
      </c>
      <c r="H14" s="572" t="str">
        <f>'1.  LRAMVA Summary'!H53</f>
        <v>kWh</v>
      </c>
      <c r="I14" s="572" t="str">
        <f>'1.  LRAMVA Summary'!I53</f>
        <v>kW</v>
      </c>
      <c r="J14" s="572" t="str">
        <f>'1.  LRAMVA Summary'!J53</f>
        <v>kW</v>
      </c>
      <c r="K14" s="572">
        <f>'1.  LRAMVA Summary'!K53</f>
        <v>0</v>
      </c>
      <c r="L14" s="572">
        <f>'1.  LRAMVA Summary'!L53</f>
        <v>0</v>
      </c>
      <c r="M14" s="572">
        <f>'1.  LRAMVA Summary'!M53</f>
        <v>0</v>
      </c>
      <c r="N14" s="572">
        <f>'1.  LRAMVA Summary'!N53</f>
        <v>0</v>
      </c>
      <c r="O14" s="572">
        <f>'1.  LRAMVA Summary'!O53</f>
        <v>0</v>
      </c>
      <c r="P14" s="572">
        <f>'1.  LRAMVA Summary'!P53</f>
        <v>0</v>
      </c>
      <c r="Q14" s="573">
        <f>'1.  LRAMVA Summary'!Q53</f>
        <v>0</v>
      </c>
    </row>
    <row r="15" spans="2:17" s="453" customFormat="1" ht="15.75" customHeight="1">
      <c r="B15" s="458" t="s">
        <v>27</v>
      </c>
      <c r="C15" s="619">
        <f>SUM(D15:Q15)</f>
        <v>4420000</v>
      </c>
      <c r="D15" s="742">
        <v>691161</v>
      </c>
      <c r="E15" s="742">
        <v>74889</v>
      </c>
      <c r="F15" s="742">
        <v>1234311</v>
      </c>
      <c r="G15" s="742">
        <v>1064997</v>
      </c>
      <c r="H15" s="742"/>
      <c r="I15" s="742"/>
      <c r="J15" s="742">
        <v>1354642</v>
      </c>
      <c r="K15" s="448"/>
      <c r="L15" s="448"/>
      <c r="M15" s="448"/>
      <c r="N15" s="448"/>
      <c r="O15" s="448"/>
      <c r="P15" s="449"/>
      <c r="Q15" s="449"/>
    </row>
    <row r="16" spans="2:17" s="453" customFormat="1" ht="15.75" customHeight="1">
      <c r="B16" s="458" t="s">
        <v>28</v>
      </c>
      <c r="C16" s="619">
        <f>SUM(D16:Q16)</f>
        <v>9922</v>
      </c>
      <c r="D16" s="743"/>
      <c r="E16" s="743"/>
      <c r="F16" s="743">
        <v>3272</v>
      </c>
      <c r="G16" s="743">
        <v>2873</v>
      </c>
      <c r="H16" s="743"/>
      <c r="I16" s="743"/>
      <c r="J16" s="743">
        <v>3777</v>
      </c>
      <c r="K16" s="449"/>
      <c r="L16" s="449"/>
      <c r="M16" s="449"/>
      <c r="N16" s="449"/>
      <c r="O16" s="449"/>
      <c r="P16" s="449"/>
      <c r="Q16" s="449"/>
    </row>
    <row r="17" s="17" customFormat="1" ht="15.75" customHeight="1"/>
    <row r="18" spans="2:17" s="25" customFormat="1" ht="15.75" customHeight="1">
      <c r="B18" s="191" t="s">
        <v>450</v>
      </c>
      <c r="C18" s="192"/>
      <c r="D18" s="192">
        <f t="shared" si="0" ref="D18:E18">IF(D14="kw",HLOOKUP(D14,D14:D16,3,FALSE),HLOOKUP(D14,D14:D16,2,FALSE))</f>
        <v>691161</v>
      </c>
      <c r="E18" s="192">
        <f t="shared" si="0"/>
        <v>74889</v>
      </c>
      <c r="F18" s="192">
        <f>IF(F14="kw",HLOOKUP(F14,F14:F16,3,FALSE),HLOOKUP(F14,F14:F16,2,FALSE))</f>
        <v>3272</v>
      </c>
      <c r="G18" s="192">
        <f t="shared" si="1" ref="G18:Q18">IF(G14="kw",HLOOKUP(G14,G14:G16,3,FALSE),HLOOKUP(G14,G14:G16,2,FALSE))</f>
        <v>2873</v>
      </c>
      <c r="H18" s="192">
        <f t="shared" si="1"/>
        <v>0</v>
      </c>
      <c r="I18" s="192">
        <f t="shared" si="1"/>
        <v>0</v>
      </c>
      <c r="J18" s="192">
        <f t="shared" si="1"/>
        <v>3777</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4" s="435" customFormat="1" ht="21" customHeight="1">
      <c r="B20" s="457" t="s">
        <v>671</v>
      </c>
      <c r="C20" s="367" t="s">
        <v>776</v>
      </c>
      <c r="D20" s="451"/>
    </row>
    <row r="21" spans="2:5" s="435" customFormat="1" ht="21" customHeight="1">
      <c r="B21" s="457" t="s">
        <v>366</v>
      </c>
      <c r="C21" s="367" t="s">
        <v>777</v>
      </c>
      <c r="D21" s="451"/>
      <c r="E21" s="435" t="s">
        <v>778</v>
      </c>
    </row>
    <row r="22" spans="2:5" s="17" customFormat="1" ht="15.75" customHeight="1">
      <c r="B22" s="166"/>
      <c r="C22" s="167"/>
      <c r="D22" s="163"/>
      <c r="E22" s="17" t="s">
        <v>779</v>
      </c>
    </row>
    <row r="23" spans="2:4" s="17" customFormat="1" ht="23.25" customHeight="1">
      <c r="B23" s="168"/>
      <c r="C23" s="168"/>
      <c r="D23" s="163"/>
    </row>
    <row r="24" spans="2:4" s="17" customFormat="1" ht="22.5" customHeight="1">
      <c r="B24" s="118" t="s">
        <v>412</v>
      </c>
      <c r="C24" s="118"/>
      <c r="D24" s="452">
        <v>2012</v>
      </c>
    </row>
    <row r="25" spans="4:4" s="2" customFormat="1" ht="15.75" customHeight="1">
      <c r="D25" s="20"/>
    </row>
    <row r="26" spans="2:17" s="2" customFormat="1" ht="42" customHeight="1">
      <c r="B26" s="887" t="s">
        <v>742</v>
      </c>
      <c r="C26" s="887"/>
      <c r="D26" s="887"/>
      <c r="E26" s="887"/>
      <c r="F26" s="887"/>
      <c r="G26" s="887"/>
      <c r="H26" s="887"/>
      <c r="I26" s="887"/>
      <c r="J26" s="887"/>
      <c r="K26" s="887"/>
      <c r="L26" s="887"/>
      <c r="M26" s="887"/>
      <c r="N26" s="607"/>
      <c r="O26" s="607"/>
      <c r="P26" s="607"/>
      <c r="Q26" s="607"/>
    </row>
    <row r="27" spans="4:4" s="2" customFormat="1" ht="15.75" customHeight="1">
      <c r="D27" s="20"/>
    </row>
    <row r="28" spans="3:17" s="17" customFormat="1" ht="44.25" customHeight="1">
      <c r="C28" s="243" t="str">
        <f>'1.  LRAMVA Summary'!R52</f>
        <v>Total</v>
      </c>
      <c r="D28" s="243" t="str">
        <f>'1.  LRAMVA Summary'!D52</f>
        <v>Residential</v>
      </c>
      <c r="E28" s="243" t="str">
        <f>'1.  LRAMVA Summary'!E52</f>
        <v>GS&lt;50 kW</v>
      </c>
      <c r="F28" s="243" t="str">
        <f>'1.  LRAMVA Summary'!F52</f>
        <v>GS 50 - 999 kW</v>
      </c>
      <c r="G28" s="243" t="str">
        <f>'1.  LRAMVA Summary'!G52</f>
        <v>GS 1,000 - 4,999 kW</v>
      </c>
      <c r="H28" s="243" t="str">
        <f>'1.  LRAMVA Summary'!H52</f>
        <v>USL</v>
      </c>
      <c r="I28" s="243" t="str">
        <f>'1.  LRAMVA Summary'!I52</f>
        <v>Sentinel Lighting</v>
      </c>
      <c r="J28" s="243" t="str">
        <f>'1.  LRAMVA Summary'!J52</f>
        <v>Street Lighting</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1"/>
      <c r="D29" s="572" t="str">
        <f>'1.  LRAMVA Summary'!D53</f>
        <v>kWh</v>
      </c>
      <c r="E29" s="572" t="str">
        <f>'1.  LRAMVA Summary'!E53</f>
        <v>kWh</v>
      </c>
      <c r="F29" s="572" t="str">
        <f>'1.  LRAMVA Summary'!F53</f>
        <v>kW</v>
      </c>
      <c r="G29" s="572" t="str">
        <f>'1.  LRAMVA Summary'!G53</f>
        <v>kW</v>
      </c>
      <c r="H29" s="572" t="str">
        <f>'1.  LRAMVA Summary'!H53</f>
        <v>kWh</v>
      </c>
      <c r="I29" s="572" t="str">
        <f>'1.  LRAMVA Summary'!I53</f>
        <v>kW</v>
      </c>
      <c r="J29" s="572" t="str">
        <f>'1.  LRAMVA Summary'!J53</f>
        <v>kW</v>
      </c>
      <c r="K29" s="572">
        <f>'1.  LRAMVA Summary'!K53</f>
        <v>0</v>
      </c>
      <c r="L29" s="572">
        <f>'1.  LRAMVA Summary'!L53</f>
        <v>0</v>
      </c>
      <c r="M29" s="572">
        <f>'1.  LRAMVA Summary'!M53</f>
        <v>0</v>
      </c>
      <c r="N29" s="572">
        <f>'1.  LRAMVA Summary'!N53</f>
        <v>0</v>
      </c>
      <c r="O29" s="572">
        <f>'1.  LRAMVA Summary'!O53</f>
        <v>0</v>
      </c>
      <c r="P29" s="572">
        <f>'1.  LRAMVA Summary'!P53</f>
        <v>0</v>
      </c>
      <c r="Q29" s="573">
        <f>'1.  LRAMVA Summary'!Q53</f>
        <v>0</v>
      </c>
    </row>
    <row r="30" spans="2:17" s="453" customFormat="1" ht="15.75" customHeight="1">
      <c r="B30" s="458" t="s">
        <v>27</v>
      </c>
      <c r="C30" s="619">
        <f>SUM(D30:Q30)</f>
        <v>4229656</v>
      </c>
      <c r="D30" s="744">
        <v>2396997</v>
      </c>
      <c r="E30" s="744">
        <v>619006</v>
      </c>
      <c r="F30" s="744">
        <v>990030</v>
      </c>
      <c r="G30" s="744">
        <v>223623</v>
      </c>
      <c r="H30" s="459"/>
      <c r="I30" s="459"/>
      <c r="J30" s="459"/>
      <c r="K30" s="459"/>
      <c r="L30" s="459"/>
      <c r="M30" s="459"/>
      <c r="N30" s="459"/>
      <c r="O30" s="459"/>
      <c r="P30" s="459"/>
      <c r="Q30" s="449"/>
    </row>
    <row r="31" spans="2:17" s="460" customFormat="1" ht="15" customHeight="1">
      <c r="B31" s="458" t="s">
        <v>28</v>
      </c>
      <c r="C31" s="619">
        <f>SUM(D31:Q31)</f>
        <v>3377</v>
      </c>
      <c r="D31" s="743"/>
      <c r="E31" s="743"/>
      <c r="F31" s="743">
        <v>2770</v>
      </c>
      <c r="G31" s="743">
        <v>607</v>
      </c>
      <c r="H31" s="447"/>
      <c r="I31" s="447"/>
      <c r="J31" s="447"/>
      <c r="K31" s="449"/>
      <c r="L31" s="449"/>
      <c r="M31" s="449"/>
      <c r="N31" s="449"/>
      <c r="O31" s="449"/>
      <c r="P31" s="449"/>
      <c r="Q31" s="449"/>
    </row>
    <row r="32" s="17" customFormat="1" ht="15.75" customHeight="1"/>
    <row r="33" spans="2:17" s="25" customFormat="1" ht="15.75" customHeight="1">
      <c r="B33" s="191" t="s">
        <v>450</v>
      </c>
      <c r="C33" s="192"/>
      <c r="D33" s="192">
        <f>IF(D29="kw",HLOOKUP(D29,D29:D31,3,FALSE),HLOOKUP(D29,D29:D31,2,FALSE))</f>
        <v>2396997</v>
      </c>
      <c r="E33" s="192">
        <f>IF(E29="kw",HLOOKUP(E29,E29:E31,3,FALSE),HLOOKUP(E29,E29:E31,2,FALSE))</f>
        <v>619006</v>
      </c>
      <c r="F33" s="192">
        <f>IF(F29="kw",HLOOKUP(F29,F29:F31,3,FALSE),HLOOKUP(F29,F29:F31,2,FALSE))</f>
        <v>2770</v>
      </c>
      <c r="G33" s="192">
        <f>IF(G29="kw",HLOOKUP(G29,G29:G31,3,FALSE),HLOOKUP(G29,G29:G31,2,FALSE))</f>
        <v>607</v>
      </c>
      <c r="H33" s="192">
        <f t="shared" si="2" ref="H33:Q33">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17" s="20" customFormat="1" ht="15.75" customHeight="1">
      <c r="B34" s="93"/>
      <c r="C34" s="93"/>
      <c r="D34" s="93"/>
      <c r="E34" s="93"/>
      <c r="F34" s="93"/>
      <c r="G34" s="93"/>
      <c r="H34" s="93"/>
      <c r="I34" s="93"/>
      <c r="J34" s="93"/>
      <c r="K34" s="93"/>
      <c r="L34" s="93"/>
      <c r="M34" s="93"/>
      <c r="N34" s="93"/>
      <c r="O34" s="93"/>
      <c r="P34" s="93"/>
      <c r="Q34" s="93"/>
    </row>
    <row r="35" spans="2:17" s="20" customFormat="1" ht="15.75" customHeight="1">
      <c r="B35" s="457" t="s">
        <v>671</v>
      </c>
      <c r="C35" s="367" t="s">
        <v>780</v>
      </c>
      <c r="D35" s="451"/>
      <c r="E35" s="93"/>
      <c r="F35" s="93"/>
      <c r="G35" s="93"/>
      <c r="H35" s="93"/>
      <c r="I35" s="93"/>
      <c r="J35" s="93"/>
      <c r="K35" s="93"/>
      <c r="L35" s="93"/>
      <c r="M35" s="93"/>
      <c r="N35" s="93"/>
      <c r="O35" s="93"/>
      <c r="P35" s="93"/>
      <c r="Q35" s="93"/>
    </row>
    <row r="36" spans="2:4" s="435" customFormat="1" ht="21" customHeight="1">
      <c r="B36" s="457" t="s">
        <v>366</v>
      </c>
      <c r="C36" s="367" t="s">
        <v>781</v>
      </c>
      <c r="D36" s="451"/>
    </row>
    <row r="37" spans="2:18" s="17" customFormat="1" ht="15.75" customHeight="1">
      <c r="B37" s="166"/>
      <c r="C37" s="167"/>
      <c r="D37" s="163"/>
      <c r="R37" s="163"/>
    </row>
    <row r="38" spans="2:18" s="17" customFormat="1" ht="15.75" customHeight="1">
      <c r="B38" s="166"/>
      <c r="C38" s="166"/>
      <c r="D38" s="163"/>
      <c r="R38" s="163"/>
    </row>
    <row r="39" spans="2:6" s="20" customFormat="1" ht="15.5">
      <c r="B39" s="118" t="s">
        <v>452</v>
      </c>
      <c r="C39" s="35"/>
      <c r="D39" s="34"/>
      <c r="E39" s="39"/>
      <c r="F39" s="40"/>
    </row>
    <row r="40" spans="2:17" s="70" customFormat="1" ht="39" customHeight="1">
      <c r="B40" s="887" t="s">
        <v>608</v>
      </c>
      <c r="C40" s="887"/>
      <c r="D40" s="887"/>
      <c r="E40" s="887"/>
      <c r="F40" s="887"/>
      <c r="G40" s="887"/>
      <c r="H40" s="887"/>
      <c r="I40" s="887"/>
      <c r="J40" s="887"/>
      <c r="K40" s="887"/>
      <c r="L40" s="887"/>
      <c r="M40" s="887"/>
      <c r="N40" s="607"/>
      <c r="O40" s="607"/>
      <c r="P40" s="607"/>
      <c r="Q40" s="607"/>
    </row>
    <row r="41" spans="2:18" s="2" customFormat="1" ht="16.5" customHeight="1">
      <c r="B41" s="10"/>
      <c r="C41" s="10"/>
      <c r="D41" s="22"/>
      <c r="E41" s="20"/>
      <c r="F41" s="20"/>
      <c r="G41" s="20"/>
      <c r="R41" s="20"/>
    </row>
    <row r="42" spans="2:18" s="17" customFormat="1" ht="56.25" customHeight="1">
      <c r="B42" s="243" t="s">
        <v>234</v>
      </c>
      <c r="C42" s="243" t="s">
        <v>605</v>
      </c>
      <c r="D42" s="243" t="str">
        <f>'1.  LRAMVA Summary'!D52</f>
        <v>Residential</v>
      </c>
      <c r="E42" s="243" t="str">
        <f>'1.  LRAMVA Summary'!E52</f>
        <v>GS&lt;50 kW</v>
      </c>
      <c r="F42" s="243" t="str">
        <f>'1.  LRAMVA Summary'!F52</f>
        <v>GS 50 - 999 kW</v>
      </c>
      <c r="G42" s="243" t="str">
        <f>'1.  LRAMVA Summary'!G52</f>
        <v>GS 1,000 - 4,999 kW</v>
      </c>
      <c r="H42" s="243" t="str">
        <f>'1.  LRAMVA Summary'!H52</f>
        <v>USL</v>
      </c>
      <c r="I42" s="243" t="str">
        <f>'1.  LRAMVA Summary'!I52</f>
        <v>Sentinel Lighting</v>
      </c>
      <c r="J42" s="243" t="str">
        <f>'1.  LRAMVA Summary'!J52</f>
        <v>Street Lighting</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18" s="146" customFormat="1" ht="18" customHeight="1">
      <c r="B43" s="574"/>
      <c r="C43" s="575"/>
      <c r="D43" s="576" t="str">
        <f>'1.  LRAMVA Summary'!D53</f>
        <v>kWh</v>
      </c>
      <c r="E43" s="576" t="str">
        <f>'1.  LRAMVA Summary'!E53</f>
        <v>kWh</v>
      </c>
      <c r="F43" s="576" t="str">
        <f>'1.  LRAMVA Summary'!F53</f>
        <v>kW</v>
      </c>
      <c r="G43" s="576" t="str">
        <f>'1.  LRAMVA Summary'!G53</f>
        <v>kW</v>
      </c>
      <c r="H43" s="576" t="str">
        <f>'1.  LRAMVA Summary'!H53</f>
        <v>kWh</v>
      </c>
      <c r="I43" s="576" t="str">
        <f>'1.  LRAMVA Summary'!I53</f>
        <v>kW</v>
      </c>
      <c r="J43" s="576" t="str">
        <f>'1.  LRAMVA Summary'!J53</f>
        <v>kW</v>
      </c>
      <c r="K43" s="576">
        <f>'1.  LRAMVA Summary'!K53</f>
        <v>0</v>
      </c>
      <c r="L43" s="576">
        <f>'1.  LRAMVA Summary'!L53</f>
        <v>0</v>
      </c>
      <c r="M43" s="576">
        <f>'1.  LRAMVA Summary'!M53</f>
        <v>0</v>
      </c>
      <c r="N43" s="576">
        <f>'1.  LRAMVA Summary'!N53</f>
        <v>0</v>
      </c>
      <c r="O43" s="576">
        <f>'1.  LRAMVA Summary'!O53</f>
        <v>0</v>
      </c>
      <c r="P43" s="576">
        <f>'1.  LRAMVA Summary'!P53</f>
        <v>0</v>
      </c>
      <c r="Q43" s="577">
        <f>'1.  LRAMVA Summary'!Q53</f>
        <v>0</v>
      </c>
      <c r="R43" s="169"/>
    </row>
    <row r="44" spans="2:18" s="17" customFormat="1" ht="15.5">
      <c r="B44" s="170">
        <v>2011</v>
      </c>
      <c r="C44" s="527"/>
      <c r="D44" s="190">
        <f t="shared" si="3" ref="D44:Q44">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18" s="17" customFormat="1" ht="15.5">
      <c r="B45" s="170">
        <v>2012</v>
      </c>
      <c r="C45" s="527"/>
      <c r="D45" s="190">
        <f t="shared" si="4" ref="D45:Q45">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18" s="17" customFormat="1" ht="15.5">
      <c r="B46" s="171">
        <v>2013</v>
      </c>
      <c r="C46" s="527"/>
      <c r="D46" s="190">
        <f t="shared" si="5" ref="D46:Q46">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18" s="17" customFormat="1" ht="15.5">
      <c r="B47" s="171">
        <v>2014</v>
      </c>
      <c r="C47" s="527"/>
      <c r="D47" s="190">
        <f t="shared" si="6" ref="D47:Q47">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27">
        <v>2012</v>
      </c>
      <c r="D48" s="190">
        <f t="shared" si="7" ref="D48:Q48">IF(ISBLANK($C$48),0,IF($C$48=$D$9,HLOOKUP(D43,D14:D18,5,FALSE),HLOOKUP(D43,D29:D33,5,FALSE)))</f>
        <v>2396997</v>
      </c>
      <c r="E48" s="190">
        <f t="shared" si="7"/>
        <v>619006</v>
      </c>
      <c r="F48" s="190">
        <f t="shared" si="7"/>
        <v>2770</v>
      </c>
      <c r="G48" s="190">
        <f t="shared" si="7"/>
        <v>607</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27">
        <v>2016</v>
      </c>
      <c r="D49" s="190">
        <f t="shared" si="8" ref="D49:Q49">IF(ISBLANK($C$49),0,IF($C$49=$D$9,HLOOKUP(D43,D14:D18,5,FALSE),HLOOKUP(D43,D29:D33,5,FALSE)))</f>
        <v>691161</v>
      </c>
      <c r="E49" s="190">
        <f t="shared" si="8"/>
        <v>74889</v>
      </c>
      <c r="F49" s="190">
        <f t="shared" si="8"/>
        <v>3272</v>
      </c>
      <c r="G49" s="190">
        <f t="shared" si="8"/>
        <v>2873</v>
      </c>
      <c r="H49" s="190">
        <f t="shared" si="8"/>
        <v>0</v>
      </c>
      <c r="I49" s="190">
        <f t="shared" si="8"/>
        <v>0</v>
      </c>
      <c r="J49" s="190">
        <f t="shared" si="8"/>
        <v>3777</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27">
        <v>2016</v>
      </c>
      <c r="D50" s="190">
        <f t="shared" si="9" ref="D50:I50">IF(ISBLANK($C$50),0,IF($C$50=$D$9,HLOOKUP(D43,D14:D18,5,FALSE),HLOOKUP(D43,D29:D33,5,FALSE)))</f>
        <v>691161</v>
      </c>
      <c r="E50" s="190">
        <f t="shared" si="9"/>
        <v>74889</v>
      </c>
      <c r="F50" s="190">
        <f t="shared" si="9"/>
        <v>3272</v>
      </c>
      <c r="G50" s="190">
        <f t="shared" si="9"/>
        <v>2873</v>
      </c>
      <c r="H50" s="190">
        <f t="shared" si="9"/>
        <v>0</v>
      </c>
      <c r="I50" s="190">
        <f t="shared" si="9"/>
        <v>0</v>
      </c>
      <c r="J50" s="190">
        <f t="shared" si="10" ref="J50:Q50">IF(ISBLANK($C$50),0,IF($C$50=$D$9,HLOOKUP(J43,J14:J18,5,FALSE),HLOOKUP(J43,J29:J33,5,FALSE)))</f>
        <v>3777</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27">
        <v>2016</v>
      </c>
      <c r="D51" s="190">
        <f t="shared" si="11" ref="D51:Q51">IF(ISBLANK($C$51),0,IF($C$51=$D$9,HLOOKUP(D43,D14:D18,5,FALSE),HLOOKUP(D43,D29:D33,5,FALSE)))</f>
        <v>691161</v>
      </c>
      <c r="E51" s="190">
        <f t="shared" si="11"/>
        <v>74889</v>
      </c>
      <c r="F51" s="190">
        <f t="shared" si="11"/>
        <v>3272</v>
      </c>
      <c r="G51" s="190">
        <f t="shared" si="11"/>
        <v>2873</v>
      </c>
      <c r="H51" s="190">
        <f t="shared" si="11"/>
        <v>0</v>
      </c>
      <c r="I51" s="190">
        <f t="shared" si="11"/>
        <v>0</v>
      </c>
      <c r="J51" s="190">
        <f t="shared" si="11"/>
        <v>3777</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27">
        <v>2016</v>
      </c>
      <c r="D52" s="190">
        <f t="shared" si="12" ref="D52:Q52">IF(ISBLANK($C$52),0,IF($C$52=$D$9,HLOOKUP(D43,D14:D18,5,FALSE),HLOOKUP(D43,D29:D33,5,FALSE)))</f>
        <v>691161</v>
      </c>
      <c r="E52" s="190">
        <f t="shared" si="12"/>
        <v>74889</v>
      </c>
      <c r="F52" s="190">
        <f t="shared" si="12"/>
        <v>3272</v>
      </c>
      <c r="G52" s="190">
        <f t="shared" si="12"/>
        <v>2873</v>
      </c>
      <c r="H52" s="190">
        <f t="shared" si="12"/>
        <v>0</v>
      </c>
      <c r="I52" s="190">
        <f t="shared" si="12"/>
        <v>0</v>
      </c>
      <c r="J52" s="190">
        <f t="shared" si="12"/>
        <v>3777</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c r="B53" s="171">
        <v>2020</v>
      </c>
      <c r="C53" s="527"/>
      <c r="D53" s="190">
        <f t="shared" si="13" ref="D53:Q5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18" s="435" customFormat="1" ht="15.5">
      <c r="B54" s="450" t="s">
        <v>535</v>
      </c>
      <c r="C54" s="461"/>
      <c r="D54" s="462"/>
      <c r="E54" s="463"/>
      <c r="F54" s="463"/>
      <c r="G54" s="463"/>
      <c r="H54" s="463"/>
      <c r="I54" s="463"/>
      <c r="J54" s="463"/>
      <c r="K54" s="463"/>
      <c r="L54" s="463"/>
      <c r="M54" s="463"/>
      <c r="N54" s="463"/>
      <c r="O54" s="463"/>
      <c r="P54" s="463"/>
      <c r="Q54" s="462"/>
      <c r="R54" s="454"/>
    </row>
    <row r="55" spans="2:4" s="17" customFormat="1" ht="15.75" customHeight="1">
      <c r="B55" s="168"/>
      <c r="C55" s="168"/>
      <c r="D55" s="163"/>
    </row>
    <row r="56" spans="2:4" s="17" customFormat="1" ht="15.75" customHeight="1">
      <c r="B56" s="168"/>
      <c r="C56" s="168"/>
      <c r="D56" s="163"/>
    </row>
    <row r="57" spans="2:4" s="2" customFormat="1" ht="15.75" customHeight="1">
      <c r="B57" s="82"/>
      <c r="C57" s="82"/>
      <c r="D57" s="20"/>
    </row>
    <row r="58" spans="2:4" s="2" customFormat="1" ht="15.75" customHeight="1">
      <c r="B58" s="82"/>
      <c r="C58" s="82"/>
      <c r="D58" s="20"/>
    </row>
    <row r="59" spans="2:4" s="2" customFormat="1" ht="15.75" customHeight="1">
      <c r="B59" s="82"/>
      <c r="C59" s="82"/>
      <c r="D59" s="20"/>
    </row>
    <row r="60" spans="2:4" s="2" customFormat="1" ht="15.75" customHeight="1">
      <c r="B60" s="82"/>
      <c r="C60" s="82"/>
      <c r="D60" s="20"/>
    </row>
    <row r="61" spans="2:4" s="2" customFormat="1" ht="15.75" customHeight="1">
      <c r="B61" s="82"/>
      <c r="C61" s="82"/>
      <c r="D61" s="20"/>
    </row>
    <row r="62" spans="2:4" s="2" customFormat="1" ht="15.75" customHeight="1">
      <c r="B62" s="82"/>
      <c r="C62" s="82"/>
      <c r="D62" s="20"/>
    </row>
    <row r="63" spans="2:3" s="9" customFormat="1" ht="14.5">
      <c r="B63" s="26"/>
      <c r="C63" s="26"/>
    </row>
    <row r="64" spans="2:3" s="9" customFormat="1" ht="14.5">
      <c r="B64" s="26"/>
      <c r="C64" s="26"/>
    </row>
    <row r="65" spans="2:3" s="9" customFormat="1" ht="14.5">
      <c r="B65" s="26"/>
      <c r="C65" s="26"/>
    </row>
    <row r="66" spans="2:3" s="9" customFormat="1" ht="14.5">
      <c r="B66" s="26"/>
      <c r="C66" s="26"/>
    </row>
    <row r="67" spans="2:3" s="9" customFormat="1" ht="14.5">
      <c r="B67" s="26"/>
      <c r="C67" s="26"/>
    </row>
    <row r="68" spans="2:3" s="9" customFormat="1" ht="14.5">
      <c r="B68" s="26"/>
      <c r="C68" s="26"/>
    </row>
    <row r="69" spans="2:3" s="9" customFormat="1" ht="14.5">
      <c r="B69" s="26"/>
      <c r="C69" s="26"/>
    </row>
    <row r="70" spans="2:3" s="9" customFormat="1" ht="14.5">
      <c r="B70" s="26"/>
      <c r="C70" s="26"/>
    </row>
    <row r="71" spans="2:3" s="9" customFormat="1" ht="14.5">
      <c r="B71" s="26"/>
      <c r="C71" s="26"/>
    </row>
    <row r="72" spans="2:3" s="9" customFormat="1" ht="14.5">
      <c r="B72" s="26"/>
      <c r="C72" s="26"/>
    </row>
    <row r="73" spans="2:3" s="9" customFormat="1" ht="14.5">
      <c r="B73" s="26"/>
      <c r="C73" s="26"/>
    </row>
    <row r="74" spans="2:3" s="9" customFormat="1" ht="14.5">
      <c r="B74" s="26"/>
      <c r="C74" s="26"/>
    </row>
    <row r="75" spans="2:3" s="9" customFormat="1" ht="14.5">
      <c r="B75" s="26"/>
      <c r="C75" s="26"/>
    </row>
    <row r="76" spans="2:3" s="9" customFormat="1" ht="14.5">
      <c r="B76" s="26"/>
      <c r="C76" s="26"/>
    </row>
    <row r="77" spans="2:3" s="9" customFormat="1" ht="14.5">
      <c r="B77" s="26"/>
      <c r="C77" s="26"/>
    </row>
    <row r="78" spans="2:3" s="9" customFormat="1" ht="14.5">
      <c r="B78" s="26"/>
      <c r="C78" s="26"/>
    </row>
    <row r="79" spans="2:3" s="9" customFormat="1" ht="14.5">
      <c r="B79" s="26"/>
      <c r="C79" s="26"/>
    </row>
    <row r="80" spans="2:3" s="9" customFormat="1" ht="14.5">
      <c r="B80" s="26"/>
      <c r="C80" s="26"/>
    </row>
    <row r="81" spans="2:3" s="9" customFormat="1" ht="14.5">
      <c r="B81" s="26"/>
      <c r="C81" s="26"/>
    </row>
    <row r="82" spans="2:3" s="9" customFormat="1" ht="14.5">
      <c r="B82" s="26"/>
      <c r="C82" s="26"/>
    </row>
    <row r="83" spans="2:3" s="9" customFormat="1" ht="14.5">
      <c r="B83" s="26"/>
      <c r="C83" s="26"/>
    </row>
    <row r="84" spans="2:3" s="9" customFormat="1" ht="14.5">
      <c r="B84" s="26"/>
      <c r="C84" s="26"/>
    </row>
    <row r="85" spans="2:3" s="9" customFormat="1" ht="14.5">
      <c r="B85" s="26"/>
      <c r="C85" s="26"/>
    </row>
    <row r="86" spans="2:3" s="9" customFormat="1" ht="14.5">
      <c r="B86" s="26"/>
      <c r="C86" s="26"/>
    </row>
    <row r="87" spans="2:3" s="9" customFormat="1" ht="14.5">
      <c r="B87" s="26"/>
      <c r="C87" s="26"/>
    </row>
    <row r="88" spans="2:3" s="9" customFormat="1" ht="14.5">
      <c r="B88" s="26"/>
      <c r="C88" s="26"/>
    </row>
    <row r="89" spans="2:3" s="9" customFormat="1" ht="14.5">
      <c r="B89" s="26"/>
      <c r="C89" s="26"/>
    </row>
    <row r="90" spans="2:3" s="9" customFormat="1" ht="14.5">
      <c r="B90" s="26"/>
      <c r="C90" s="26"/>
    </row>
    <row r="91" spans="2:3" s="9" customFormat="1" ht="14.5">
      <c r="B91" s="26"/>
      <c r="C91" s="26"/>
    </row>
    <row r="92" spans="2:3" s="9" customFormat="1" ht="14.5">
      <c r="B92" s="26"/>
      <c r="C92" s="26"/>
    </row>
    <row r="93" spans="2:3" s="9" customFormat="1" ht="14.5">
      <c r="B93" s="26"/>
      <c r="C93" s="26"/>
    </row>
    <row r="94" spans="2:3" s="9" customFormat="1" ht="14.5">
      <c r="B94" s="26"/>
      <c r="C94" s="26"/>
    </row>
    <row r="95" spans="2:3" s="9" customFormat="1" ht="14.5">
      <c r="B95" s="26"/>
      <c r="C95" s="26"/>
    </row>
    <row r="96" spans="2:3" s="9" customFormat="1" ht="14.5">
      <c r="B96" s="26"/>
      <c r="C96" s="26"/>
    </row>
    <row r="157" spans="4:4" ht="14.5">
      <c r="D157" s="840"/>
    </row>
  </sheetData>
  <sheetProtection formatCells="0" formatColumns="0" formatRows="0" insertColumns="0" insertRows="0" insertHyperlinks="0" deleteColumns="0" deleteRows="0" sort="0" autoFilter="0" pivotTables="0"/>
  <mergeCells count="3">
    <mergeCell ref="B11:M11"/>
    <mergeCell ref="B26:M26"/>
    <mergeCell ref="B40:M40"/>
  </mergeCells>
  <dataValidations count="2">
    <dataValidation type="list" allowBlank="1" showInputMessage="1" showErrorMessage="1" sqref="D9 D24">
      <formula1>DropDownList!$C$2:$C$16</formula1>
    </dataValidation>
    <dataValidation type="list" allowBlank="1" showInputMessage="1" showErrorMessage="1" sqref="C44:C53">
      <formula1>DropDownList!$E$2:$E$4</formula1>
    </dataValidation>
  </dataValidations>
  <pageMargins left="0.708661417322835" right="0.708661417322835" top="0.748031496062992" bottom="0.748031496062992" header="0.31496062992126" footer="0.31496062992126"/>
  <pageSetup orientation="landscape" paperSize="17" scale="50" r:id="rId2"/>
  <headerFooter>
    <oddFooter>&amp;R&amp;P of &amp;N</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57"/>
  <sheetViews>
    <sheetView zoomScale="80" zoomScaleNormal="80" workbookViewId="0" topLeftCell="A1">
      <pane ySplit="14" topLeftCell="A15" activePane="bottomLeft" state="frozen"/>
      <selection pane="topLeft" activeCell="D157" sqref="D157"/>
      <selection pane="bottomLeft" activeCell="D157" sqref="D157"/>
    </sheetView>
  </sheetViews>
  <sheetFormatPr defaultColWidth="9.00428571428571" defaultRowHeight="14.5" outlineLevelRow="1"/>
  <cols>
    <col min="1" max="1" width="6.57142857142857" style="4" customWidth="1"/>
    <col min="2" max="2" width="36.5714285714286" style="5" customWidth="1"/>
    <col min="3" max="3" width="17" style="78" customWidth="1"/>
    <col min="4" max="5" width="18" style="5" customWidth="1"/>
    <col min="6" max="6" width="18.5714285714286" style="5" customWidth="1"/>
    <col min="7" max="8" width="15.4285714285714" style="5" customWidth="1"/>
    <col min="9" max="9" width="17.4285714285714" style="5" customWidth="1"/>
    <col min="10" max="13" width="16" style="5" customWidth="1"/>
    <col min="14" max="14" width="19" style="5" customWidth="1"/>
    <col min="15" max="15" width="16.5714285714286" style="5" customWidth="1"/>
    <col min="16" max="16" width="17" style="5" customWidth="1"/>
    <col min="17" max="16384" width="9" style="5"/>
  </cols>
  <sheetData>
    <row r="1" spans="2:2" ht="143.25" customHeight="1">
      <c r="B1" s="18"/>
    </row>
    <row r="2" spans="1:15" s="18" customFormat="1" ht="14.25" customHeight="1">
      <c r="A2" s="4"/>
      <c r="B2" s="84"/>
      <c r="C2" s="84"/>
      <c r="D2" s="84"/>
      <c r="E2" s="84"/>
      <c r="F2" s="84"/>
      <c r="G2" s="84"/>
      <c r="H2" s="84"/>
      <c r="I2" s="84"/>
      <c r="J2" s="84"/>
      <c r="K2" s="84"/>
      <c r="L2" s="84"/>
      <c r="M2" s="84"/>
      <c r="N2" s="84"/>
      <c r="O2" s="84"/>
    </row>
    <row r="3" spans="1:11" s="18" customFormat="1" ht="16.5" customHeight="1" hidden="1" outlineLevel="1" thickBot="1">
      <c r="A3" s="4"/>
      <c r="B3" s="47"/>
      <c r="C3" s="79"/>
      <c r="D3" s="47"/>
      <c r="E3" s="47"/>
      <c r="F3" s="47"/>
      <c r="G3" s="47"/>
      <c r="H3" s="47"/>
      <c r="I3" s="47"/>
      <c r="J3" s="47"/>
      <c r="K3" s="47"/>
    </row>
    <row r="4" spans="1:5" s="18" customFormat="1" ht="26.25" customHeight="1" hidden="1" outlineLevel="1" thickBot="1">
      <c r="A4" s="4"/>
      <c r="B4" s="888" t="s">
        <v>171</v>
      </c>
      <c r="C4" s="85" t="s">
        <v>175</v>
      </c>
      <c r="D4" s="85"/>
      <c r="E4" s="49"/>
    </row>
    <row r="5" spans="1:5" s="18" customFormat="1" ht="26.25" customHeight="1" hidden="1" outlineLevel="1" thickBot="1">
      <c r="A5" s="4"/>
      <c r="B5" s="888"/>
      <c r="C5" s="86" t="s">
        <v>172</v>
      </c>
      <c r="D5" s="86"/>
      <c r="E5" s="49"/>
    </row>
    <row r="6" spans="2:26" ht="26.25" customHeight="1" hidden="1" outlineLevel="1" thickBot="1">
      <c r="B6" s="888"/>
      <c r="C6" s="894" t="s">
        <v>550</v>
      </c>
      <c r="D6" s="895"/>
      <c r="F6" s="18"/>
      <c r="M6" s="6"/>
      <c r="N6" s="6"/>
      <c r="O6" s="6"/>
      <c r="P6" s="6"/>
      <c r="Q6" s="6"/>
      <c r="R6" s="6"/>
      <c r="S6" s="6"/>
      <c r="T6" s="6"/>
      <c r="U6" s="6"/>
      <c r="V6" s="6"/>
      <c r="W6" s="6"/>
      <c r="X6" s="6"/>
      <c r="Y6" s="6"/>
      <c r="Z6" s="6"/>
    </row>
    <row r="7" spans="1:26" s="18" customFormat="1" ht="26.25" customHeight="1" hidden="1" outlineLevel="1">
      <c r="A7" s="4"/>
      <c r="B7" s="533"/>
      <c r="M7" s="6"/>
      <c r="N7" s="6"/>
      <c r="O7" s="6"/>
      <c r="P7" s="6"/>
      <c r="Q7" s="6"/>
      <c r="R7" s="6"/>
      <c r="S7" s="6"/>
      <c r="T7" s="6"/>
      <c r="U7" s="6"/>
      <c r="V7" s="6"/>
      <c r="W7" s="6"/>
      <c r="X7" s="6"/>
      <c r="Y7" s="6"/>
      <c r="Z7" s="6"/>
    </row>
    <row r="8" spans="1:26" s="18" customFormat="1" ht="19.5" customHeight="1" hidden="1" outlineLevel="1">
      <c r="A8" s="4"/>
      <c r="B8" s="533" t="s">
        <v>526</v>
      </c>
      <c r="C8" s="587" t="s">
        <v>481</v>
      </c>
      <c r="D8" s="586"/>
      <c r="M8" s="6"/>
      <c r="N8" s="6"/>
      <c r="O8" s="6"/>
      <c r="P8" s="6"/>
      <c r="Q8" s="6"/>
      <c r="R8" s="6"/>
      <c r="S8" s="6"/>
      <c r="T8" s="6"/>
      <c r="U8" s="6"/>
      <c r="V8" s="6"/>
      <c r="W8" s="6"/>
      <c r="X8" s="6"/>
      <c r="Y8" s="6"/>
      <c r="Z8" s="6"/>
    </row>
    <row r="9" spans="1:26" s="18" customFormat="1" ht="19.5" customHeight="1" hidden="1" outlineLevel="1">
      <c r="A9" s="4"/>
      <c r="B9" s="533"/>
      <c r="C9" s="587" t="s">
        <v>527</v>
      </c>
      <c r="D9" s="586"/>
      <c r="M9" s="6"/>
      <c r="N9" s="6"/>
      <c r="O9" s="6"/>
      <c r="P9" s="6"/>
      <c r="Q9" s="6"/>
      <c r="R9" s="6"/>
      <c r="S9" s="6"/>
      <c r="T9" s="6"/>
      <c r="U9" s="6"/>
      <c r="V9" s="6"/>
      <c r="W9" s="6"/>
      <c r="X9" s="6"/>
      <c r="Y9" s="6"/>
      <c r="Z9" s="6"/>
    </row>
    <row r="10" spans="1:26" s="18" customFormat="1" ht="14.5" hidden="1" outlineLevel="1">
      <c r="A10" s="4"/>
      <c r="B10" s="101"/>
      <c r="C10" s="87"/>
      <c r="D10" s="87"/>
      <c r="E10" s="87"/>
      <c r="M10" s="6"/>
      <c r="N10" s="6"/>
      <c r="O10" s="6"/>
      <c r="P10" s="6"/>
      <c r="Q10" s="6"/>
      <c r="R10" s="6"/>
      <c r="S10" s="6"/>
      <c r="T10" s="6"/>
      <c r="U10" s="6"/>
      <c r="V10" s="6"/>
      <c r="W10" s="6"/>
      <c r="X10" s="6"/>
      <c r="Y10" s="6"/>
      <c r="Z10" s="6"/>
    </row>
    <row r="11" spans="1:15" s="18" customFormat="1" ht="32.25" customHeight="1" collapsed="1">
      <c r="A11" s="15"/>
      <c r="B11" s="118" t="s">
        <v>482</v>
      </c>
      <c r="O11" s="545"/>
    </row>
    <row r="12" spans="2:15" ht="58.5" customHeight="1">
      <c r="B12" s="896" t="s">
        <v>616</v>
      </c>
      <c r="C12" s="896"/>
      <c r="D12" s="896"/>
      <c r="E12" s="896"/>
      <c r="F12" s="896"/>
      <c r="G12" s="896"/>
      <c r="H12" s="896"/>
      <c r="I12" s="896"/>
      <c r="J12" s="896"/>
      <c r="K12" s="896"/>
      <c r="L12" s="896"/>
      <c r="M12" s="896"/>
      <c r="N12" s="896"/>
      <c r="O12" s="896"/>
    </row>
    <row r="13" spans="1:26" s="14" customFormat="1" ht="15.75" customHeight="1">
      <c r="A13" s="41"/>
      <c r="O13" s="18"/>
      <c r="P13" s="7"/>
      <c r="Q13" s="41"/>
      <c r="R13" s="41"/>
      <c r="S13" s="41"/>
      <c r="T13" s="41"/>
      <c r="U13" s="41"/>
      <c r="V13" s="41"/>
      <c r="W13" s="41"/>
      <c r="X13" s="41"/>
      <c r="Y13" s="41"/>
      <c r="Z13" s="41"/>
    </row>
    <row r="14" spans="1:16" s="54" customFormat="1" ht="46.5" customHeight="1">
      <c r="A14" s="53"/>
      <c r="B14" s="546"/>
      <c r="C14" s="465" t="s">
        <v>41</v>
      </c>
      <c r="D14" s="466" t="s">
        <v>562</v>
      </c>
      <c r="E14" s="466" t="s">
        <v>563</v>
      </c>
      <c r="F14" s="466" t="s">
        <v>564</v>
      </c>
      <c r="G14" s="466" t="s">
        <v>565</v>
      </c>
      <c r="H14" s="466" t="s">
        <v>782</v>
      </c>
      <c r="I14" s="466" t="s">
        <v>783</v>
      </c>
      <c r="J14" s="466" t="s">
        <v>784</v>
      </c>
      <c r="K14" s="466" t="s">
        <v>785</v>
      </c>
      <c r="L14" s="466" t="s">
        <v>786</v>
      </c>
      <c r="M14" s="466" t="s">
        <v>787</v>
      </c>
      <c r="N14" s="466" t="s">
        <v>788</v>
      </c>
      <c r="O14" s="466" t="s">
        <v>566</v>
      </c>
      <c r="P14" s="7"/>
    </row>
    <row r="15" spans="2:15" s="7" customFormat="1" ht="18.75" customHeight="1">
      <c r="B15" s="467" t="s">
        <v>188</v>
      </c>
      <c r="C15" s="889"/>
      <c r="D15" s="468">
        <v>2010</v>
      </c>
      <c r="E15" s="468">
        <v>2011</v>
      </c>
      <c r="F15" s="468">
        <v>2012</v>
      </c>
      <c r="G15" s="468">
        <v>2013</v>
      </c>
      <c r="H15" s="468">
        <v>2014</v>
      </c>
      <c r="I15" s="468">
        <v>2015</v>
      </c>
      <c r="J15" s="468">
        <v>2016</v>
      </c>
      <c r="K15" s="468">
        <v>2017</v>
      </c>
      <c r="L15" s="468">
        <v>2018</v>
      </c>
      <c r="M15" s="468">
        <v>2019</v>
      </c>
      <c r="N15" s="468">
        <v>2020</v>
      </c>
      <c r="O15" s="469">
        <v>2021</v>
      </c>
    </row>
    <row r="16" spans="2:15" s="111" customFormat="1" ht="18" customHeight="1">
      <c r="B16" s="470" t="s">
        <v>558</v>
      </c>
      <c r="C16" s="890"/>
      <c r="D16" s="471"/>
      <c r="E16" s="471"/>
      <c r="F16" s="471"/>
      <c r="G16" s="471"/>
      <c r="H16" s="471">
        <v>4</v>
      </c>
      <c r="I16" s="471">
        <v>4</v>
      </c>
      <c r="J16" s="471">
        <v>4</v>
      </c>
      <c r="K16" s="471">
        <v>4</v>
      </c>
      <c r="L16" s="471">
        <v>4</v>
      </c>
      <c r="M16" s="471">
        <v>4</v>
      </c>
      <c r="N16" s="471">
        <v>4</v>
      </c>
      <c r="O16" s="472"/>
    </row>
    <row r="17" spans="2:15" s="111" customFormat="1" ht="17.25" customHeight="1">
      <c r="B17" s="473" t="s">
        <v>559</v>
      </c>
      <c r="C17" s="891"/>
      <c r="D17" s="112">
        <f>12-D16</f>
        <v>12</v>
      </c>
      <c r="E17" s="112">
        <f>12-E16</f>
        <v>12</v>
      </c>
      <c r="F17" s="112">
        <f t="shared" si="0" ref="F17:K17">12-F16</f>
        <v>12</v>
      </c>
      <c r="G17" s="112">
        <f t="shared" si="0"/>
        <v>12</v>
      </c>
      <c r="H17" s="112">
        <f t="shared" si="0"/>
        <v>8</v>
      </c>
      <c r="I17" s="112">
        <f t="shared" si="0"/>
        <v>8</v>
      </c>
      <c r="J17" s="112">
        <f t="shared" si="0"/>
        <v>8</v>
      </c>
      <c r="K17" s="112">
        <f t="shared" si="0"/>
        <v>8</v>
      </c>
      <c r="L17" s="112">
        <f t="shared" si="1" ref="L17:O17">12-L16</f>
        <v>8</v>
      </c>
      <c r="M17" s="112">
        <f t="shared" si="1"/>
        <v>8</v>
      </c>
      <c r="N17" s="112">
        <f t="shared" si="1"/>
        <v>8</v>
      </c>
      <c r="O17" s="113">
        <f t="shared" si="1"/>
        <v>12</v>
      </c>
    </row>
    <row r="18" spans="2:15" s="7" customFormat="1" ht="17.25" customHeight="1">
      <c r="B18" s="474" t="str">
        <f>'1.  LRAMVA Summary'!B29</f>
        <v>Residential</v>
      </c>
      <c r="C18" s="892" t="str">
        <f>'2. LRAMVA Threshold'!D43</f>
        <v>kWh</v>
      </c>
      <c r="D18" s="46"/>
      <c r="E18" s="46"/>
      <c r="F18" s="46"/>
      <c r="G18" s="46"/>
      <c r="H18" s="46">
        <v>0.0118</v>
      </c>
      <c r="I18" s="46">
        <v>0.012</v>
      </c>
      <c r="J18" s="46">
        <v>0.01</v>
      </c>
      <c r="K18" s="46">
        <v>0.0067999999999999996</v>
      </c>
      <c r="L18" s="46">
        <v>0.0033999999999999998</v>
      </c>
      <c r="M18" s="46">
        <v>0</v>
      </c>
      <c r="N18" s="46" t="s">
        <v>789</v>
      </c>
      <c r="O18" s="69"/>
    </row>
    <row r="19" spans="2:15" s="7" customFormat="1" ht="15" customHeight="1" hidden="1" outlineLevel="1">
      <c r="B19" s="529" t="s">
        <v>510</v>
      </c>
      <c r="C19" s="890"/>
      <c r="D19" s="46"/>
      <c r="E19" s="46"/>
      <c r="F19" s="46"/>
      <c r="G19" s="46"/>
      <c r="H19" s="46"/>
      <c r="I19" s="46"/>
      <c r="J19" s="46"/>
      <c r="K19" s="46"/>
      <c r="L19" s="46"/>
      <c r="M19" s="46"/>
      <c r="N19" s="46"/>
      <c r="O19" s="69"/>
    </row>
    <row r="20" spans="2:15" s="7" customFormat="1" ht="15" customHeight="1" hidden="1" outlineLevel="1">
      <c r="B20" s="529" t="s">
        <v>511</v>
      </c>
      <c r="C20" s="890"/>
      <c r="D20" s="46"/>
      <c r="E20" s="46"/>
      <c r="F20" s="46"/>
      <c r="G20" s="46"/>
      <c r="H20" s="46"/>
      <c r="I20" s="46"/>
      <c r="J20" s="46"/>
      <c r="K20" s="46"/>
      <c r="L20" s="46"/>
      <c r="M20" s="46"/>
      <c r="N20" s="46"/>
      <c r="O20" s="69"/>
    </row>
    <row r="21" spans="2:15" s="7" customFormat="1" ht="15" customHeight="1" hidden="1" outlineLevel="1">
      <c r="B21" s="529" t="s">
        <v>489</v>
      </c>
      <c r="C21" s="890"/>
      <c r="D21" s="46"/>
      <c r="E21" s="46"/>
      <c r="F21" s="46"/>
      <c r="G21" s="46"/>
      <c r="H21" s="46"/>
      <c r="I21" s="46"/>
      <c r="J21" s="46"/>
      <c r="K21" s="46"/>
      <c r="L21" s="46"/>
      <c r="M21" s="46"/>
      <c r="N21" s="46"/>
      <c r="O21" s="69"/>
    </row>
    <row r="22" spans="2:15" s="7" customFormat="1" ht="14.25" customHeight="1" collapsed="1">
      <c r="B22" s="529" t="s">
        <v>512</v>
      </c>
      <c r="C22" s="893"/>
      <c r="D22" s="65">
        <f>SUM(D18:D21)</f>
        <v>0</v>
      </c>
      <c r="E22" s="65">
        <f>SUM(E18:E21)</f>
        <v>0</v>
      </c>
      <c r="F22" s="65">
        <f>SUM(F18:F21)</f>
        <v>0</v>
      </c>
      <c r="G22" s="65">
        <f t="shared" si="2" ref="G22:N22">SUM(G18:G21)</f>
        <v>0</v>
      </c>
      <c r="H22" s="65">
        <f t="shared" si="2"/>
        <v>0.0118</v>
      </c>
      <c r="I22" s="65">
        <f t="shared" si="2"/>
        <v>0.012</v>
      </c>
      <c r="J22" s="65">
        <f t="shared" si="2"/>
        <v>0.01</v>
      </c>
      <c r="K22" s="65">
        <f t="shared" si="2"/>
        <v>0.0067999999999999996</v>
      </c>
      <c r="L22" s="65">
        <f t="shared" si="2"/>
        <v>0.0033999999999999998</v>
      </c>
      <c r="M22" s="65">
        <f t="shared" si="2"/>
        <v>0</v>
      </c>
      <c r="N22" s="65">
        <f t="shared" si="2"/>
        <v>0</v>
      </c>
      <c r="O22" s="76"/>
    </row>
    <row r="23" spans="1:15" s="63" customFormat="1" ht="14.5">
      <c r="A23" s="62"/>
      <c r="B23" s="486" t="s">
        <v>513</v>
      </c>
      <c r="C23" s="476"/>
      <c r="D23" s="477"/>
      <c r="E23" s="478">
        <f>ROUND(SUM(D22*E16+E22*E17)/12,4)</f>
        <v>0</v>
      </c>
      <c r="F23" s="478">
        <f>ROUND(SUM(E22*F16+F22*F17)/12,4)</f>
        <v>0</v>
      </c>
      <c r="G23" s="478">
        <f>ROUND(SUM(F22*G16+G22*G17)/12,4)</f>
        <v>0</v>
      </c>
      <c r="H23" s="478">
        <f>ROUND(SUM(G22*H16+H22*H17)/12,4)</f>
        <v>0.0079000000000000008</v>
      </c>
      <c r="I23" s="478">
        <f>ROUND(SUM(H22*I16+I22*I17)/12,4)</f>
        <v>0.011900000000000001</v>
      </c>
      <c r="J23" s="478">
        <f t="shared" si="3" ref="J23:N23">ROUND(SUM(I22*J16+J22*J17)/12,4)</f>
        <v>0.010699999999999999</v>
      </c>
      <c r="K23" s="478">
        <f t="shared" si="3"/>
        <v>0.0079000000000000008</v>
      </c>
      <c r="L23" s="478">
        <f t="shared" si="3"/>
        <v>0.0044999999999999997</v>
      </c>
      <c r="M23" s="478">
        <f t="shared" si="3"/>
        <v>0.0011000000000000001</v>
      </c>
      <c r="N23" s="478">
        <f t="shared" si="3"/>
        <v>0</v>
      </c>
      <c r="O23" s="479"/>
    </row>
    <row r="24" spans="1:15" s="63" customFormat="1" ht="14.5">
      <c r="A24" s="62"/>
      <c r="B24" s="475"/>
      <c r="C24" s="480"/>
      <c r="D24" s="477"/>
      <c r="E24" s="478"/>
      <c r="F24" s="478"/>
      <c r="G24" s="478"/>
      <c r="H24" s="478"/>
      <c r="I24" s="478"/>
      <c r="J24" s="478"/>
      <c r="K24" s="478"/>
      <c r="L24" s="481"/>
      <c r="M24" s="481"/>
      <c r="N24" s="481"/>
      <c r="O24" s="479"/>
    </row>
    <row r="25" spans="1:15" s="63" customFormat="1" ht="15.75" customHeight="1">
      <c r="A25" s="62"/>
      <c r="B25" s="597" t="str">
        <f>'1.  LRAMVA Summary'!B30</f>
        <v>GS&lt;50 kW</v>
      </c>
      <c r="C25" s="892" t="str">
        <f>'2. LRAMVA Threshold'!E43</f>
        <v>kWh</v>
      </c>
      <c r="D25" s="46"/>
      <c r="E25" s="46"/>
      <c r="F25" s="46"/>
      <c r="G25" s="46"/>
      <c r="H25" s="46">
        <v>0.0083999999999999995</v>
      </c>
      <c r="I25" s="46">
        <v>0.0085000000000000006</v>
      </c>
      <c r="J25" s="46">
        <v>0.0099000000000000008</v>
      </c>
      <c r="K25" s="46">
        <v>0.0101</v>
      </c>
      <c r="L25" s="46">
        <v>0.010200000000000001</v>
      </c>
      <c r="M25" s="46">
        <v>0.0104</v>
      </c>
      <c r="N25" s="46">
        <v>0.0106</v>
      </c>
      <c r="O25" s="69"/>
    </row>
    <row r="26" spans="1:15" s="18" customFormat="1" ht="14.5" hidden="1" outlineLevel="1">
      <c r="A26" s="4"/>
      <c r="B26" s="529" t="s">
        <v>510</v>
      </c>
      <c r="C26" s="890"/>
      <c r="D26" s="46"/>
      <c r="E26" s="46"/>
      <c r="F26" s="46"/>
      <c r="G26" s="46"/>
      <c r="H26" s="46"/>
      <c r="I26" s="46"/>
      <c r="J26" s="46"/>
      <c r="K26" s="46"/>
      <c r="L26" s="46"/>
      <c r="M26" s="46"/>
      <c r="N26" s="46"/>
      <c r="O26" s="69"/>
    </row>
    <row r="27" spans="1:15" s="18" customFormat="1" ht="14.5" hidden="1" outlineLevel="1">
      <c r="A27" s="4"/>
      <c r="B27" s="529" t="s">
        <v>511</v>
      </c>
      <c r="C27" s="890"/>
      <c r="D27" s="46"/>
      <c r="E27" s="46"/>
      <c r="F27" s="46"/>
      <c r="G27" s="46"/>
      <c r="H27" s="46"/>
      <c r="I27" s="46"/>
      <c r="J27" s="46"/>
      <c r="K27" s="46"/>
      <c r="L27" s="46"/>
      <c r="M27" s="46"/>
      <c r="N27" s="46"/>
      <c r="O27" s="69"/>
    </row>
    <row r="28" spans="1:15" s="18" customFormat="1" ht="14.5" hidden="1" outlineLevel="1">
      <c r="A28" s="4"/>
      <c r="B28" s="529" t="s">
        <v>489</v>
      </c>
      <c r="C28" s="890"/>
      <c r="D28" s="46"/>
      <c r="E28" s="46"/>
      <c r="F28" s="46"/>
      <c r="G28" s="46"/>
      <c r="H28" s="46"/>
      <c r="I28" s="46"/>
      <c r="J28" s="46"/>
      <c r="K28" s="46"/>
      <c r="L28" s="46"/>
      <c r="M28" s="46"/>
      <c r="N28" s="46"/>
      <c r="O28" s="69"/>
    </row>
    <row r="29" spans="1:15" s="18" customFormat="1" ht="14.5" collapsed="1">
      <c r="A29" s="4"/>
      <c r="B29" s="529" t="s">
        <v>512</v>
      </c>
      <c r="C29" s="893"/>
      <c r="D29" s="65">
        <f>SUM(D25:D28)</f>
        <v>0</v>
      </c>
      <c r="E29" s="65">
        <f t="shared" si="4" ref="E29:N29">SUM(E25:E28)</f>
        <v>0</v>
      </c>
      <c r="F29" s="65">
        <f t="shared" si="4"/>
        <v>0</v>
      </c>
      <c r="G29" s="65">
        <f t="shared" si="4"/>
        <v>0</v>
      </c>
      <c r="H29" s="65">
        <f t="shared" si="4"/>
        <v>0.0083999999999999995</v>
      </c>
      <c r="I29" s="65">
        <f t="shared" si="4"/>
        <v>0.0085000000000000006</v>
      </c>
      <c r="J29" s="65">
        <f t="shared" si="4"/>
        <v>0.0099000000000000008</v>
      </c>
      <c r="K29" s="65">
        <f t="shared" si="4"/>
        <v>0.0101</v>
      </c>
      <c r="L29" s="65">
        <f t="shared" si="4"/>
        <v>0.010200000000000001</v>
      </c>
      <c r="M29" s="65">
        <f t="shared" si="4"/>
        <v>0.0104</v>
      </c>
      <c r="N29" s="65">
        <f t="shared" si="4"/>
        <v>0.0106</v>
      </c>
      <c r="O29" s="76"/>
    </row>
    <row r="30" spans="1:15" s="18" customFormat="1" ht="14.5">
      <c r="A30" s="4"/>
      <c r="B30" s="486" t="s">
        <v>513</v>
      </c>
      <c r="C30" s="482"/>
      <c r="D30" s="71"/>
      <c r="E30" s="478">
        <f>ROUND(SUM(D29*E16+E29*E17)/12,4)</f>
        <v>0</v>
      </c>
      <c r="F30" s="478">
        <f t="shared" si="5" ref="F30:N30">ROUND(SUM(E29*F16+F29*F17)/12,4)</f>
        <v>0</v>
      </c>
      <c r="G30" s="478">
        <f t="shared" si="5"/>
        <v>0</v>
      </c>
      <c r="H30" s="478">
        <f t="shared" si="5"/>
        <v>0.0055999999999999999</v>
      </c>
      <c r="I30" s="478">
        <f t="shared" si="5"/>
        <v>0.0085000000000000006</v>
      </c>
      <c r="J30" s="478">
        <f>ROUND(SUM(I29*J16+J29*J17)/12,4)</f>
        <v>0.0094000000000000004</v>
      </c>
      <c r="K30" s="478">
        <f t="shared" si="5"/>
        <v>0.01</v>
      </c>
      <c r="L30" s="478">
        <f t="shared" si="5"/>
        <v>0.010200000000000001</v>
      </c>
      <c r="M30" s="478">
        <f t="shared" si="5"/>
        <v>0.0103</v>
      </c>
      <c r="N30" s="478">
        <f t="shared" si="5"/>
        <v>0.010500000000000001</v>
      </c>
      <c r="O30" s="483"/>
    </row>
    <row r="31" spans="1:15" s="18" customFormat="1" ht="14.5">
      <c r="A31" s="4"/>
      <c r="B31" s="475"/>
      <c r="C31" s="484"/>
      <c r="D31" s="485"/>
      <c r="E31" s="485"/>
      <c r="F31" s="485"/>
      <c r="G31" s="485"/>
      <c r="H31" s="485"/>
      <c r="I31" s="485"/>
      <c r="J31" s="485"/>
      <c r="K31" s="485"/>
      <c r="L31" s="485"/>
      <c r="M31" s="485"/>
      <c r="N31" s="481"/>
      <c r="O31" s="483"/>
    </row>
    <row r="32" spans="2:15" s="64" customFormat="1" ht="14">
      <c r="B32" s="597" t="str">
        <f>'1.  LRAMVA Summary'!B31</f>
        <v>GS 50 - 999 kW</v>
      </c>
      <c r="C32" s="892" t="str">
        <f>'2. LRAMVA Threshold'!F43</f>
        <v>kW</v>
      </c>
      <c r="D32" s="46"/>
      <c r="E32" s="46"/>
      <c r="F32" s="46"/>
      <c r="G32" s="46"/>
      <c r="H32" s="46">
        <v>3.4016000000000002</v>
      </c>
      <c r="I32" s="46">
        <v>3.456</v>
      </c>
      <c r="J32" s="46">
        <v>3.7412000000000001</v>
      </c>
      <c r="K32" s="46">
        <v>3.8123</v>
      </c>
      <c r="L32" s="46">
        <v>3.8580000000000001</v>
      </c>
      <c r="M32" s="46">
        <v>3.9159000000000002</v>
      </c>
      <c r="N32" s="46">
        <v>3.9942000000000002</v>
      </c>
      <c r="O32" s="69"/>
    </row>
    <row r="33" spans="1:15" s="18" customFormat="1" ht="14.5" hidden="1" outlineLevel="1">
      <c r="A33" s="4"/>
      <c r="B33" s="529" t="s">
        <v>510</v>
      </c>
      <c r="C33" s="890"/>
      <c r="D33" s="46"/>
      <c r="E33" s="46"/>
      <c r="F33" s="46"/>
      <c r="G33" s="46"/>
      <c r="H33" s="46"/>
      <c r="I33" s="46"/>
      <c r="J33" s="46"/>
      <c r="K33" s="46"/>
      <c r="L33" s="46"/>
      <c r="M33" s="46"/>
      <c r="N33" s="46"/>
      <c r="O33" s="69"/>
    </row>
    <row r="34" spans="1:15" s="18" customFormat="1" ht="14.5" hidden="1" outlineLevel="1">
      <c r="A34" s="4"/>
      <c r="B34" s="529" t="s">
        <v>511</v>
      </c>
      <c r="C34" s="890"/>
      <c r="D34" s="46"/>
      <c r="E34" s="46"/>
      <c r="F34" s="46"/>
      <c r="G34" s="46"/>
      <c r="H34" s="46"/>
      <c r="I34" s="46"/>
      <c r="J34" s="46"/>
      <c r="K34" s="46"/>
      <c r="L34" s="46"/>
      <c r="M34" s="46"/>
      <c r="N34" s="46"/>
      <c r="O34" s="69"/>
    </row>
    <row r="35" spans="1:15" s="18" customFormat="1" ht="14.5" hidden="1" outlineLevel="1">
      <c r="A35" s="4"/>
      <c r="B35" s="529" t="s">
        <v>489</v>
      </c>
      <c r="C35" s="890"/>
      <c r="D35" s="46"/>
      <c r="E35" s="46"/>
      <c r="F35" s="46"/>
      <c r="G35" s="46"/>
      <c r="H35" s="46"/>
      <c r="I35" s="46"/>
      <c r="J35" s="46"/>
      <c r="K35" s="46"/>
      <c r="L35" s="46"/>
      <c r="M35" s="46"/>
      <c r="N35" s="46"/>
      <c r="O35" s="69"/>
    </row>
    <row r="36" spans="1:15" s="18" customFormat="1" ht="14.5" collapsed="1">
      <c r="A36" s="4"/>
      <c r="B36" s="529" t="s">
        <v>512</v>
      </c>
      <c r="C36" s="893"/>
      <c r="D36" s="65">
        <f>SUM(D32:D35)</f>
        <v>0</v>
      </c>
      <c r="E36" s="65">
        <f>SUM(E32:E35)</f>
        <v>0</v>
      </c>
      <c r="F36" s="65">
        <f t="shared" si="6" ref="F36:M36">SUM(F32:F35)</f>
        <v>0</v>
      </c>
      <c r="G36" s="65">
        <f t="shared" si="6"/>
        <v>0</v>
      </c>
      <c r="H36" s="65">
        <f t="shared" si="6"/>
        <v>3.4016000000000002</v>
      </c>
      <c r="I36" s="65">
        <f t="shared" si="6"/>
        <v>3.456</v>
      </c>
      <c r="J36" s="65">
        <f t="shared" si="6"/>
        <v>3.7412000000000001</v>
      </c>
      <c r="K36" s="65">
        <f t="shared" si="6"/>
        <v>3.8123</v>
      </c>
      <c r="L36" s="65">
        <f t="shared" si="6"/>
        <v>3.8580000000000001</v>
      </c>
      <c r="M36" s="65">
        <f t="shared" si="6"/>
        <v>3.9159000000000002</v>
      </c>
      <c r="N36" s="65">
        <f>SUM(N32:N35)</f>
        <v>3.9942000000000002</v>
      </c>
      <c r="O36" s="76"/>
    </row>
    <row r="37" spans="1:15" s="18" customFormat="1" ht="14.5">
      <c r="A37" s="4"/>
      <c r="B37" s="486" t="s">
        <v>513</v>
      </c>
      <c r="C37" s="482"/>
      <c r="D37" s="71"/>
      <c r="E37" s="478">
        <f t="shared" si="7" ref="E37:N37">ROUND(SUM(D36*E16+E36*E17)/12,4)</f>
        <v>0</v>
      </c>
      <c r="F37" s="478">
        <f t="shared" si="7"/>
        <v>0</v>
      </c>
      <c r="G37" s="478">
        <f t="shared" si="7"/>
        <v>0</v>
      </c>
      <c r="H37" s="478">
        <f t="shared" si="7"/>
        <v>2.2677</v>
      </c>
      <c r="I37" s="478">
        <f t="shared" si="7"/>
        <v>3.4379</v>
      </c>
      <c r="J37" s="478">
        <f t="shared" si="7"/>
        <v>3.6461000000000001</v>
      </c>
      <c r="K37" s="478">
        <f t="shared" si="7"/>
        <v>3.7886000000000002</v>
      </c>
      <c r="L37" s="478">
        <f t="shared" si="7"/>
        <v>3.8428</v>
      </c>
      <c r="M37" s="478">
        <f t="shared" si="7"/>
        <v>3.8965999999999998</v>
      </c>
      <c r="N37" s="478">
        <f t="shared" si="7"/>
        <v>3.9681000000000002</v>
      </c>
      <c r="O37" s="483"/>
    </row>
    <row r="38" spans="2:15" s="70" customFormat="1" ht="15.75" customHeight="1">
      <c r="B38" s="486"/>
      <c r="C38" s="482"/>
      <c r="D38" s="71"/>
      <c r="E38" s="71"/>
      <c r="F38" s="71"/>
      <c r="G38" s="71"/>
      <c r="H38" s="71"/>
      <c r="I38" s="71"/>
      <c r="J38" s="71"/>
      <c r="K38" s="71"/>
      <c r="L38" s="481"/>
      <c r="M38" s="481"/>
      <c r="N38" s="481"/>
      <c r="O38" s="487"/>
    </row>
    <row r="39" spans="1:15" s="64" customFormat="1" ht="14">
      <c r="A39" s="62"/>
      <c r="B39" s="597" t="str">
        <f>'1.  LRAMVA Summary'!B32</f>
        <v>GS 1,000 - 4,999 kW</v>
      </c>
      <c r="C39" s="892" t="str">
        <f>'2. LRAMVA Threshold'!G43</f>
        <v>kW</v>
      </c>
      <c r="D39" s="46"/>
      <c r="E39" s="46"/>
      <c r="F39" s="46"/>
      <c r="G39" s="46"/>
      <c r="H39" s="46">
        <v>3.1183999999999998</v>
      </c>
      <c r="I39" s="46">
        <v>3.1682999999999999</v>
      </c>
      <c r="J39" s="46">
        <v>3.3654000000000002</v>
      </c>
      <c r="K39" s="46">
        <v>3.4293</v>
      </c>
      <c r="L39" s="46">
        <v>3.4704999999999999</v>
      </c>
      <c r="M39" s="46">
        <v>3.5226000000000002</v>
      </c>
      <c r="N39" s="46">
        <v>3.5931000000000002</v>
      </c>
      <c r="O39" s="69"/>
    </row>
    <row r="40" spans="1:15" s="18" customFormat="1" ht="14.5" hidden="1" outlineLevel="1">
      <c r="A40" s="4"/>
      <c r="B40" s="529" t="s">
        <v>510</v>
      </c>
      <c r="C40" s="890"/>
      <c r="D40" s="46"/>
      <c r="E40" s="46"/>
      <c r="F40" s="46"/>
      <c r="G40" s="46"/>
      <c r="H40" s="46"/>
      <c r="I40" s="46"/>
      <c r="J40" s="46"/>
      <c r="K40" s="46"/>
      <c r="L40" s="46"/>
      <c r="M40" s="46"/>
      <c r="N40" s="46"/>
      <c r="O40" s="69"/>
    </row>
    <row r="41" spans="1:15" s="18" customFormat="1" ht="14.5" hidden="1" outlineLevel="1">
      <c r="A41" s="4"/>
      <c r="B41" s="529" t="s">
        <v>511</v>
      </c>
      <c r="C41" s="890"/>
      <c r="D41" s="46"/>
      <c r="E41" s="46"/>
      <c r="F41" s="46"/>
      <c r="G41" s="46"/>
      <c r="H41" s="46"/>
      <c r="I41" s="46"/>
      <c r="J41" s="46"/>
      <c r="K41" s="46"/>
      <c r="L41" s="46"/>
      <c r="M41" s="46"/>
      <c r="N41" s="46"/>
      <c r="O41" s="69"/>
    </row>
    <row r="42" spans="1:15" s="18" customFormat="1" ht="14.5" hidden="1" outlineLevel="1">
      <c r="A42" s="4"/>
      <c r="B42" s="529" t="s">
        <v>489</v>
      </c>
      <c r="C42" s="890"/>
      <c r="D42" s="46"/>
      <c r="E42" s="46"/>
      <c r="F42" s="46"/>
      <c r="G42" s="46"/>
      <c r="H42" s="46"/>
      <c r="I42" s="46"/>
      <c r="J42" s="46"/>
      <c r="K42" s="46"/>
      <c r="L42" s="46"/>
      <c r="M42" s="46"/>
      <c r="N42" s="46"/>
      <c r="O42" s="69"/>
    </row>
    <row r="43" spans="1:15" s="18" customFormat="1" ht="14.5" collapsed="1">
      <c r="A43" s="4"/>
      <c r="B43" s="529" t="s">
        <v>512</v>
      </c>
      <c r="C43" s="893"/>
      <c r="D43" s="65">
        <f>SUM(D39:D42)</f>
        <v>0</v>
      </c>
      <c r="E43" s="65">
        <f t="shared" si="8" ref="E43:N43">SUM(E39:E42)</f>
        <v>0</v>
      </c>
      <c r="F43" s="65">
        <f t="shared" si="8"/>
        <v>0</v>
      </c>
      <c r="G43" s="65">
        <f t="shared" si="8"/>
        <v>0</v>
      </c>
      <c r="H43" s="65">
        <f t="shared" si="8"/>
        <v>3.1183999999999998</v>
      </c>
      <c r="I43" s="65">
        <f t="shared" si="8"/>
        <v>3.1682999999999999</v>
      </c>
      <c r="J43" s="65">
        <f t="shared" si="8"/>
        <v>3.3654000000000002</v>
      </c>
      <c r="K43" s="65">
        <f t="shared" si="8"/>
        <v>3.4293</v>
      </c>
      <c r="L43" s="65">
        <f t="shared" si="8"/>
        <v>3.4704999999999999</v>
      </c>
      <c r="M43" s="65">
        <f t="shared" si="8"/>
        <v>3.5226000000000002</v>
      </c>
      <c r="N43" s="65">
        <f t="shared" si="8"/>
        <v>3.5931000000000002</v>
      </c>
      <c r="O43" s="76"/>
    </row>
    <row r="44" spans="1:15" s="14" customFormat="1" ht="14.5">
      <c r="A44" s="72"/>
      <c r="B44" s="486" t="s">
        <v>513</v>
      </c>
      <c r="C44" s="482"/>
      <c r="D44" s="71"/>
      <c r="E44" s="478">
        <f t="shared" si="9" ref="E44:N44">ROUND(SUM(D43*E16+E43*E17)/12,4)</f>
        <v>0</v>
      </c>
      <c r="F44" s="478">
        <f t="shared" si="9"/>
        <v>0</v>
      </c>
      <c r="G44" s="478">
        <f t="shared" si="9"/>
        <v>0</v>
      </c>
      <c r="H44" s="478">
        <f t="shared" si="9"/>
        <v>2.0789</v>
      </c>
      <c r="I44" s="478">
        <f t="shared" si="9"/>
        <v>3.1516999999999999</v>
      </c>
      <c r="J44" s="478">
        <f t="shared" si="9"/>
        <v>3.2997000000000001</v>
      </c>
      <c r="K44" s="478">
        <f t="shared" si="9"/>
        <v>3.4079999999999999</v>
      </c>
      <c r="L44" s="478">
        <f t="shared" si="9"/>
        <v>3.4567999999999999</v>
      </c>
      <c r="M44" s="478">
        <f t="shared" si="9"/>
        <v>3.5051999999999999</v>
      </c>
      <c r="N44" s="478">
        <f t="shared" si="9"/>
        <v>3.5695999999999999</v>
      </c>
      <c r="O44" s="483"/>
    </row>
    <row r="45" spans="1:15" s="70" customFormat="1" ht="14">
      <c r="A45" s="72"/>
      <c r="B45" s="486"/>
      <c r="C45" s="482"/>
      <c r="D45" s="71"/>
      <c r="E45" s="71"/>
      <c r="F45" s="71"/>
      <c r="G45" s="71"/>
      <c r="H45" s="71"/>
      <c r="I45" s="71"/>
      <c r="J45" s="71"/>
      <c r="K45" s="71"/>
      <c r="L45" s="481"/>
      <c r="M45" s="481"/>
      <c r="N45" s="481"/>
      <c r="O45" s="487"/>
    </row>
    <row r="46" spans="1:15" s="64" customFormat="1" ht="14">
      <c r="A46" s="62"/>
      <c r="B46" s="597" t="str">
        <f>'1.  LRAMVA Summary'!B33</f>
        <v>USL</v>
      </c>
      <c r="C46" s="892" t="str">
        <f>'2. LRAMVA Threshold'!H43</f>
        <v>kWh</v>
      </c>
      <c r="D46" s="46"/>
      <c r="E46" s="46"/>
      <c r="F46" s="46"/>
      <c r="G46" s="46"/>
      <c r="H46" s="46">
        <v>0.0044000000000000003</v>
      </c>
      <c r="I46" s="46">
        <v>0.0044999999999999997</v>
      </c>
      <c r="J46" s="46">
        <v>0.0051999999999999998</v>
      </c>
      <c r="K46" s="46">
        <v>0.0053</v>
      </c>
      <c r="L46" s="46">
        <v>0.0054000000000000003</v>
      </c>
      <c r="M46" s="46">
        <v>0.0054999999999999997</v>
      </c>
      <c r="N46" s="46">
        <v>0.0055999999999999999</v>
      </c>
      <c r="O46" s="69"/>
    </row>
    <row r="47" spans="1:15" s="18" customFormat="1" ht="14.5" hidden="1" outlineLevel="1">
      <c r="A47" s="4"/>
      <c r="B47" s="529" t="s">
        <v>510</v>
      </c>
      <c r="C47" s="890"/>
      <c r="D47" s="46"/>
      <c r="E47" s="46"/>
      <c r="F47" s="46"/>
      <c r="G47" s="46"/>
      <c r="H47" s="46"/>
      <c r="I47" s="46"/>
      <c r="J47" s="46"/>
      <c r="K47" s="46"/>
      <c r="L47" s="46"/>
      <c r="M47" s="46"/>
      <c r="N47" s="46"/>
      <c r="O47" s="69"/>
    </row>
    <row r="48" spans="1:15" s="18" customFormat="1" ht="14.5" hidden="1" outlineLevel="1">
      <c r="A48" s="4"/>
      <c r="B48" s="529" t="s">
        <v>511</v>
      </c>
      <c r="C48" s="890"/>
      <c r="D48" s="46"/>
      <c r="E48" s="46"/>
      <c r="F48" s="46"/>
      <c r="G48" s="46"/>
      <c r="H48" s="46"/>
      <c r="I48" s="46"/>
      <c r="J48" s="46"/>
      <c r="K48" s="46"/>
      <c r="L48" s="46"/>
      <c r="M48" s="46"/>
      <c r="N48" s="46"/>
      <c r="O48" s="69"/>
    </row>
    <row r="49" spans="1:15" s="18" customFormat="1" ht="14.5" hidden="1" outlineLevel="1">
      <c r="A49" s="4"/>
      <c r="B49" s="529" t="s">
        <v>489</v>
      </c>
      <c r="C49" s="890"/>
      <c r="D49" s="46"/>
      <c r="E49" s="46"/>
      <c r="F49" s="46"/>
      <c r="G49" s="46"/>
      <c r="H49" s="46"/>
      <c r="I49" s="46"/>
      <c r="J49" s="46"/>
      <c r="K49" s="46"/>
      <c r="L49" s="46"/>
      <c r="M49" s="46"/>
      <c r="N49" s="46"/>
      <c r="O49" s="69"/>
    </row>
    <row r="50" spans="1:15" s="18" customFormat="1" ht="14.5" collapsed="1">
      <c r="A50" s="4"/>
      <c r="B50" s="529" t="s">
        <v>512</v>
      </c>
      <c r="C50" s="893"/>
      <c r="D50" s="65">
        <f>SUM(D46:D49)</f>
        <v>0</v>
      </c>
      <c r="E50" s="65">
        <f t="shared" si="10" ref="E50:N50">SUM(E46:E49)</f>
        <v>0</v>
      </c>
      <c r="F50" s="65">
        <f t="shared" si="10"/>
        <v>0</v>
      </c>
      <c r="G50" s="65">
        <f t="shared" si="10"/>
        <v>0</v>
      </c>
      <c r="H50" s="65">
        <f t="shared" si="10"/>
        <v>0.0044000000000000003</v>
      </c>
      <c r="I50" s="65">
        <f t="shared" si="10"/>
        <v>0.0044999999999999997</v>
      </c>
      <c r="J50" s="65">
        <f t="shared" si="10"/>
        <v>0.0051999999999999998</v>
      </c>
      <c r="K50" s="65">
        <f t="shared" si="10"/>
        <v>0.0053</v>
      </c>
      <c r="L50" s="65">
        <f t="shared" si="10"/>
        <v>0.0054000000000000003</v>
      </c>
      <c r="M50" s="65">
        <f t="shared" si="10"/>
        <v>0.0054999999999999997</v>
      </c>
      <c r="N50" s="65">
        <f t="shared" si="10"/>
        <v>0.0055999999999999999</v>
      </c>
      <c r="O50" s="76"/>
    </row>
    <row r="51" spans="1:15" s="14" customFormat="1" ht="14.5">
      <c r="A51" s="72"/>
      <c r="B51" s="486" t="s">
        <v>513</v>
      </c>
      <c r="C51" s="482"/>
      <c r="D51" s="71"/>
      <c r="E51" s="478">
        <f t="shared" si="11" ref="E51:N51">ROUND(SUM(D50*E16+E50*E17)/12,4)</f>
        <v>0</v>
      </c>
      <c r="F51" s="478">
        <f t="shared" si="11"/>
        <v>0</v>
      </c>
      <c r="G51" s="478">
        <f t="shared" si="11"/>
        <v>0</v>
      </c>
      <c r="H51" s="478">
        <f t="shared" si="11"/>
        <v>0.0028999999999999998</v>
      </c>
      <c r="I51" s="478">
        <f t="shared" si="11"/>
        <v>0.0044999999999999997</v>
      </c>
      <c r="J51" s="478">
        <f t="shared" si="11"/>
        <v>0.0050000000000000001</v>
      </c>
      <c r="K51" s="478">
        <f t="shared" si="11"/>
        <v>0.0053</v>
      </c>
      <c r="L51" s="478">
        <f t="shared" si="11"/>
        <v>0.0054000000000000003</v>
      </c>
      <c r="M51" s="478">
        <f t="shared" si="11"/>
        <v>0.0054999999999999997</v>
      </c>
      <c r="N51" s="478">
        <f t="shared" si="11"/>
        <v>0.0055999999999999999</v>
      </c>
      <c r="O51" s="483"/>
    </row>
    <row r="52" spans="1:15" s="70" customFormat="1" ht="14">
      <c r="A52" s="72"/>
      <c r="B52" s="486"/>
      <c r="C52" s="482"/>
      <c r="D52" s="71"/>
      <c r="E52" s="71"/>
      <c r="F52" s="71"/>
      <c r="G52" s="71"/>
      <c r="H52" s="71"/>
      <c r="I52" s="71"/>
      <c r="J52" s="71"/>
      <c r="K52" s="71"/>
      <c r="L52" s="488"/>
      <c r="M52" s="488"/>
      <c r="N52" s="488"/>
      <c r="O52" s="487"/>
    </row>
    <row r="53" spans="1:15" s="64" customFormat="1" ht="14">
      <c r="A53" s="62"/>
      <c r="B53" s="597" t="str">
        <f>'1.  LRAMVA Summary'!B34</f>
        <v>Sentinel Lighting</v>
      </c>
      <c r="C53" s="892" t="str">
        <f>'2. LRAMVA Threshold'!I43</f>
        <v>kW</v>
      </c>
      <c r="D53" s="46"/>
      <c r="E53" s="46"/>
      <c r="F53" s="46"/>
      <c r="G53" s="46"/>
      <c r="H53" s="46">
        <v>18.8596</v>
      </c>
      <c r="I53" s="46">
        <v>19.1614</v>
      </c>
      <c r="J53" s="46">
        <v>34.817700000000002</v>
      </c>
      <c r="K53" s="46">
        <v>35.479199999999999</v>
      </c>
      <c r="L53" s="46">
        <v>35.905000000000001</v>
      </c>
      <c r="M53" s="46">
        <v>36.443600000000004</v>
      </c>
      <c r="N53" s="46">
        <v>37.172499999999999</v>
      </c>
      <c r="O53" s="69"/>
    </row>
    <row r="54" spans="1:15" s="18" customFormat="1" ht="14.5" hidden="1" outlineLevel="1">
      <c r="A54" s="4"/>
      <c r="B54" s="529" t="s">
        <v>510</v>
      </c>
      <c r="C54" s="890"/>
      <c r="D54" s="46"/>
      <c r="E54" s="46"/>
      <c r="F54" s="46"/>
      <c r="G54" s="46"/>
      <c r="H54" s="46"/>
      <c r="I54" s="46"/>
      <c r="J54" s="46"/>
      <c r="K54" s="46"/>
      <c r="L54" s="46"/>
      <c r="M54" s="46"/>
      <c r="N54" s="46"/>
      <c r="O54" s="69"/>
    </row>
    <row r="55" spans="1:15" s="18" customFormat="1" ht="14.5" hidden="1" outlineLevel="1">
      <c r="A55" s="4"/>
      <c r="B55" s="529" t="s">
        <v>511</v>
      </c>
      <c r="C55" s="890"/>
      <c r="D55" s="46"/>
      <c r="E55" s="46"/>
      <c r="F55" s="46"/>
      <c r="G55" s="46"/>
      <c r="H55" s="46"/>
      <c r="I55" s="46"/>
      <c r="J55" s="46"/>
      <c r="K55" s="46"/>
      <c r="L55" s="46"/>
      <c r="M55" s="46"/>
      <c r="N55" s="46"/>
      <c r="O55" s="69"/>
    </row>
    <row r="56" spans="1:15" s="18" customFormat="1" ht="14.5" hidden="1" outlineLevel="1">
      <c r="A56" s="4"/>
      <c r="B56" s="529" t="s">
        <v>489</v>
      </c>
      <c r="C56" s="890"/>
      <c r="D56" s="46"/>
      <c r="E56" s="46"/>
      <c r="F56" s="46"/>
      <c r="G56" s="46"/>
      <c r="H56" s="46"/>
      <c r="I56" s="46"/>
      <c r="J56" s="46"/>
      <c r="K56" s="46"/>
      <c r="L56" s="46"/>
      <c r="M56" s="46"/>
      <c r="N56" s="46"/>
      <c r="O56" s="69"/>
    </row>
    <row r="57" spans="1:15" s="18" customFormat="1" ht="14.5" collapsed="1">
      <c r="A57" s="4"/>
      <c r="B57" s="529" t="s">
        <v>512</v>
      </c>
      <c r="C57" s="893"/>
      <c r="D57" s="65">
        <f>SUM(D53:D56)</f>
        <v>0</v>
      </c>
      <c r="E57" s="65">
        <f t="shared" si="12" ref="E57:N57">SUM(E53:E56)</f>
        <v>0</v>
      </c>
      <c r="F57" s="65">
        <f t="shared" si="12"/>
        <v>0</v>
      </c>
      <c r="G57" s="65">
        <f t="shared" si="12"/>
        <v>0</v>
      </c>
      <c r="H57" s="65">
        <f t="shared" si="12"/>
        <v>18.8596</v>
      </c>
      <c r="I57" s="65">
        <f t="shared" si="12"/>
        <v>19.1614</v>
      </c>
      <c r="J57" s="65">
        <f t="shared" si="12"/>
        <v>34.817700000000002</v>
      </c>
      <c r="K57" s="65">
        <f t="shared" si="12"/>
        <v>35.479199999999999</v>
      </c>
      <c r="L57" s="65">
        <f t="shared" si="12"/>
        <v>35.905000000000001</v>
      </c>
      <c r="M57" s="65">
        <f t="shared" si="12"/>
        <v>36.443600000000004</v>
      </c>
      <c r="N57" s="65">
        <f t="shared" si="12"/>
        <v>37.172499999999999</v>
      </c>
      <c r="O57" s="77"/>
    </row>
    <row r="58" spans="1:15" s="14" customFormat="1" ht="14.5">
      <c r="A58" s="72"/>
      <c r="B58" s="486" t="s">
        <v>513</v>
      </c>
      <c r="C58" s="482"/>
      <c r="D58" s="71"/>
      <c r="E58" s="478">
        <f t="shared" si="13" ref="E58:N58">ROUND(SUM(D57*E16+E57*E17)/12,4)</f>
        <v>0</v>
      </c>
      <c r="F58" s="478">
        <f t="shared" si="13"/>
        <v>0</v>
      </c>
      <c r="G58" s="478">
        <f t="shared" si="13"/>
        <v>0</v>
      </c>
      <c r="H58" s="478">
        <f t="shared" si="13"/>
        <v>12.5731</v>
      </c>
      <c r="I58" s="478">
        <f t="shared" si="13"/>
        <v>19.0608</v>
      </c>
      <c r="J58" s="478">
        <f t="shared" si="13"/>
        <v>29.5989</v>
      </c>
      <c r="K58" s="478">
        <f t="shared" si="13"/>
        <v>35.258699999999997</v>
      </c>
      <c r="L58" s="478">
        <f t="shared" si="13"/>
        <v>35.763100000000001</v>
      </c>
      <c r="M58" s="478">
        <f t="shared" si="13"/>
        <v>36.264099999999999</v>
      </c>
      <c r="N58" s="478">
        <f t="shared" si="13"/>
        <v>36.929499999999997</v>
      </c>
      <c r="O58" s="483"/>
    </row>
    <row r="59" spans="1:15" s="70" customFormat="1" ht="14">
      <c r="A59" s="72"/>
      <c r="B59" s="486"/>
      <c r="C59" s="482"/>
      <c r="D59" s="71"/>
      <c r="E59" s="71"/>
      <c r="F59" s="71"/>
      <c r="G59" s="71"/>
      <c r="H59" s="71"/>
      <c r="I59" s="71"/>
      <c r="J59" s="71"/>
      <c r="K59" s="71"/>
      <c r="L59" s="488"/>
      <c r="M59" s="488"/>
      <c r="N59" s="488"/>
      <c r="O59" s="487"/>
    </row>
    <row r="60" spans="1:15" s="64" customFormat="1" ht="14">
      <c r="A60" s="62"/>
      <c r="B60" s="597" t="str">
        <f>'1.  LRAMVA Summary'!B35</f>
        <v>Street Lighting</v>
      </c>
      <c r="C60" s="892" t="str">
        <f>'2. LRAMVA Threshold'!J43</f>
        <v>kW</v>
      </c>
      <c r="D60" s="46"/>
      <c r="E60" s="46"/>
      <c r="F60" s="46"/>
      <c r="G60" s="46"/>
      <c r="H60" s="46">
        <v>29.587399999999999</v>
      </c>
      <c r="I60" s="46">
        <v>30.0608</v>
      </c>
      <c r="J60" s="46">
        <v>1.5053000000000001</v>
      </c>
      <c r="K60" s="46">
        <v>1.5339</v>
      </c>
      <c r="L60" s="46">
        <v>1.5523</v>
      </c>
      <c r="M60" s="46">
        <v>1.5755999999999999</v>
      </c>
      <c r="N60" s="46">
        <v>1.6071</v>
      </c>
      <c r="O60" s="69"/>
    </row>
    <row r="61" spans="1:15" s="18" customFormat="1" ht="14.5" hidden="1" outlineLevel="1">
      <c r="A61" s="4"/>
      <c r="B61" s="529" t="s">
        <v>510</v>
      </c>
      <c r="C61" s="890"/>
      <c r="D61" s="46"/>
      <c r="E61" s="46"/>
      <c r="F61" s="46"/>
      <c r="G61" s="46"/>
      <c r="H61" s="46"/>
      <c r="I61" s="46"/>
      <c r="J61" s="46"/>
      <c r="K61" s="46"/>
      <c r="L61" s="46"/>
      <c r="M61" s="46"/>
      <c r="N61" s="46"/>
      <c r="O61" s="69"/>
    </row>
    <row r="62" spans="1:15" s="18" customFormat="1" ht="14.5" hidden="1" outlineLevel="1">
      <c r="A62" s="4"/>
      <c r="B62" s="529" t="s">
        <v>511</v>
      </c>
      <c r="C62" s="890"/>
      <c r="D62" s="46"/>
      <c r="E62" s="46"/>
      <c r="F62" s="46"/>
      <c r="G62" s="46"/>
      <c r="H62" s="46"/>
      <c r="I62" s="46"/>
      <c r="J62" s="46"/>
      <c r="K62" s="46"/>
      <c r="L62" s="46"/>
      <c r="M62" s="46"/>
      <c r="N62" s="46"/>
      <c r="O62" s="69"/>
    </row>
    <row r="63" spans="1:15" s="18" customFormat="1" ht="14.5" hidden="1" outlineLevel="1">
      <c r="A63" s="4"/>
      <c r="B63" s="529" t="s">
        <v>489</v>
      </c>
      <c r="C63" s="890"/>
      <c r="D63" s="46"/>
      <c r="E63" s="46"/>
      <c r="F63" s="46"/>
      <c r="G63" s="46"/>
      <c r="H63" s="46"/>
      <c r="I63" s="46"/>
      <c r="J63" s="46"/>
      <c r="K63" s="46"/>
      <c r="L63" s="46"/>
      <c r="M63" s="46"/>
      <c r="N63" s="46"/>
      <c r="O63" s="69"/>
    </row>
    <row r="64" spans="1:15" s="18" customFormat="1" ht="14.5" collapsed="1">
      <c r="A64" s="4"/>
      <c r="B64" s="529" t="s">
        <v>512</v>
      </c>
      <c r="C64" s="893"/>
      <c r="D64" s="65">
        <f>SUM(D60:D63)</f>
        <v>0</v>
      </c>
      <c r="E64" s="65">
        <f t="shared" si="14" ref="E64:N64">SUM(E60:E63)</f>
        <v>0</v>
      </c>
      <c r="F64" s="65">
        <f t="shared" si="14"/>
        <v>0</v>
      </c>
      <c r="G64" s="65">
        <f t="shared" si="14"/>
        <v>0</v>
      </c>
      <c r="H64" s="65">
        <f t="shared" si="14"/>
        <v>29.587399999999999</v>
      </c>
      <c r="I64" s="65">
        <f t="shared" si="14"/>
        <v>30.0608</v>
      </c>
      <c r="J64" s="65">
        <f t="shared" si="14"/>
        <v>1.5053000000000001</v>
      </c>
      <c r="K64" s="65">
        <f t="shared" si="14"/>
        <v>1.5339</v>
      </c>
      <c r="L64" s="65">
        <f t="shared" si="14"/>
        <v>1.5523</v>
      </c>
      <c r="M64" s="65">
        <f t="shared" si="14"/>
        <v>1.5755999999999999</v>
      </c>
      <c r="N64" s="65">
        <f t="shared" si="14"/>
        <v>1.6071</v>
      </c>
      <c r="O64" s="77"/>
    </row>
    <row r="65" spans="1:15" s="14" customFormat="1" ht="14.5">
      <c r="A65" s="72"/>
      <c r="B65" s="486" t="s">
        <v>513</v>
      </c>
      <c r="C65" s="482"/>
      <c r="D65" s="71"/>
      <c r="E65" s="478">
        <f t="shared" si="15" ref="E65:N65">ROUND(SUM(D64*E16+E64*E17)/12,4)</f>
        <v>0</v>
      </c>
      <c r="F65" s="478">
        <f t="shared" si="15"/>
        <v>0</v>
      </c>
      <c r="G65" s="478">
        <f t="shared" si="15"/>
        <v>0</v>
      </c>
      <c r="H65" s="478">
        <f t="shared" si="15"/>
        <v>19.724900000000002</v>
      </c>
      <c r="I65" s="478">
        <f>ROUND(SUM(H64*I16+I64*I17)/12,4)</f>
        <v>29.902999999999999</v>
      </c>
      <c r="J65" s="478">
        <f t="shared" si="15"/>
        <v>11.0238</v>
      </c>
      <c r="K65" s="478">
        <f t="shared" si="15"/>
        <v>1.5244</v>
      </c>
      <c r="L65" s="478">
        <f t="shared" si="15"/>
        <v>1.5462</v>
      </c>
      <c r="M65" s="478">
        <f t="shared" si="15"/>
        <v>1.5678000000000001</v>
      </c>
      <c r="N65" s="478">
        <f t="shared" si="15"/>
        <v>1.5966</v>
      </c>
      <c r="O65" s="483"/>
    </row>
    <row r="66" spans="1:15" s="14" customFormat="1" ht="14.5">
      <c r="A66" s="72"/>
      <c r="B66" s="73"/>
      <c r="C66" s="80"/>
      <c r="D66" s="71"/>
      <c r="E66" s="71"/>
      <c r="F66" s="71"/>
      <c r="G66" s="71"/>
      <c r="H66" s="71"/>
      <c r="I66" s="71"/>
      <c r="J66" s="71"/>
      <c r="K66" s="71"/>
      <c r="L66" s="481"/>
      <c r="M66" s="481"/>
      <c r="N66" s="481"/>
      <c r="O66" s="483"/>
    </row>
    <row r="67" spans="1:15" s="64" customFormat="1" ht="14">
      <c r="A67" s="62"/>
      <c r="B67" s="597">
        <f>'1.  LRAMVA Summary'!B36</f>
        <v>0</v>
      </c>
      <c r="C67" s="892">
        <f>'2. LRAMVA Threshold'!K43</f>
        <v>0</v>
      </c>
      <c r="D67" s="46"/>
      <c r="E67" s="46"/>
      <c r="F67" s="46"/>
      <c r="G67" s="46"/>
      <c r="H67" s="46"/>
      <c r="I67" s="46"/>
      <c r="J67" s="46"/>
      <c r="K67" s="46"/>
      <c r="L67" s="46"/>
      <c r="M67" s="46"/>
      <c r="N67" s="46"/>
      <c r="O67" s="69"/>
    </row>
    <row r="68" spans="1:15" s="18" customFormat="1" ht="14.5" hidden="1" outlineLevel="1">
      <c r="A68" s="4"/>
      <c r="B68" s="529" t="s">
        <v>510</v>
      </c>
      <c r="C68" s="890"/>
      <c r="D68" s="46"/>
      <c r="E68" s="46"/>
      <c r="F68" s="46"/>
      <c r="G68" s="46"/>
      <c r="H68" s="46"/>
      <c r="I68" s="46"/>
      <c r="J68" s="46"/>
      <c r="K68" s="46"/>
      <c r="L68" s="46"/>
      <c r="M68" s="46"/>
      <c r="N68" s="46"/>
      <c r="O68" s="69"/>
    </row>
    <row r="69" spans="1:15" s="18" customFormat="1" ht="14.5" hidden="1" outlineLevel="1">
      <c r="A69" s="4"/>
      <c r="B69" s="529" t="s">
        <v>511</v>
      </c>
      <c r="C69" s="890"/>
      <c r="D69" s="46"/>
      <c r="E69" s="46"/>
      <c r="F69" s="46"/>
      <c r="G69" s="46"/>
      <c r="H69" s="46"/>
      <c r="I69" s="46"/>
      <c r="J69" s="46"/>
      <c r="K69" s="46"/>
      <c r="L69" s="46"/>
      <c r="M69" s="46"/>
      <c r="N69" s="46"/>
      <c r="O69" s="69"/>
    </row>
    <row r="70" spans="1:15" s="18" customFormat="1" ht="14.5" hidden="1" outlineLevel="1">
      <c r="A70" s="4"/>
      <c r="B70" s="529" t="s">
        <v>489</v>
      </c>
      <c r="C70" s="890"/>
      <c r="D70" s="46"/>
      <c r="E70" s="46"/>
      <c r="F70" s="46"/>
      <c r="G70" s="46"/>
      <c r="H70" s="46"/>
      <c r="I70" s="46"/>
      <c r="J70" s="46"/>
      <c r="K70" s="46"/>
      <c r="L70" s="46"/>
      <c r="M70" s="46"/>
      <c r="N70" s="46"/>
      <c r="O70" s="69"/>
    </row>
    <row r="71" spans="1:15" s="18" customFormat="1" ht="14.5" collapsed="1">
      <c r="A71" s="4"/>
      <c r="B71" s="529" t="s">
        <v>512</v>
      </c>
      <c r="C71" s="893"/>
      <c r="D71" s="65">
        <f>SUM(D67:D70)</f>
        <v>0</v>
      </c>
      <c r="E71" s="65">
        <f t="shared" si="16" ref="E71:N71">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t="14.5">
      <c r="A72" s="72"/>
      <c r="B72" s="486" t="s">
        <v>513</v>
      </c>
      <c r="C72" s="482"/>
      <c r="D72" s="71"/>
      <c r="E72" s="478">
        <f t="shared" si="17" ref="E72:N72">ROUND(SUM(D71*E16+E71*E17)/12,4)</f>
        <v>0</v>
      </c>
      <c r="F72" s="478">
        <f t="shared" si="17"/>
        <v>0</v>
      </c>
      <c r="G72" s="478">
        <f t="shared" si="17"/>
        <v>0</v>
      </c>
      <c r="H72" s="478">
        <f t="shared" si="17"/>
        <v>0</v>
      </c>
      <c r="I72" s="478">
        <f t="shared" si="17"/>
        <v>0</v>
      </c>
      <c r="J72" s="478">
        <f t="shared" si="17"/>
        <v>0</v>
      </c>
      <c r="K72" s="478">
        <f t="shared" si="17"/>
        <v>0</v>
      </c>
      <c r="L72" s="478">
        <f t="shared" si="17"/>
        <v>0</v>
      </c>
      <c r="M72" s="478">
        <f t="shared" si="17"/>
        <v>0</v>
      </c>
      <c r="N72" s="478">
        <f t="shared" si="17"/>
        <v>0</v>
      </c>
      <c r="O72" s="483"/>
    </row>
    <row r="73" spans="1:15" s="14" customFormat="1" ht="14.5">
      <c r="A73" s="72"/>
      <c r="B73" s="475"/>
      <c r="C73" s="482"/>
      <c r="D73" s="71"/>
      <c r="E73" s="478"/>
      <c r="F73" s="478"/>
      <c r="G73" s="478"/>
      <c r="H73" s="478"/>
      <c r="I73" s="478"/>
      <c r="J73" s="478"/>
      <c r="K73" s="478"/>
      <c r="L73" s="478"/>
      <c r="M73" s="478"/>
      <c r="N73" s="478"/>
      <c r="O73" s="483"/>
    </row>
    <row r="74" spans="1:15" s="64" customFormat="1" ht="14">
      <c r="A74" s="62"/>
      <c r="B74" s="597">
        <f>'1.  LRAMVA Summary'!B37</f>
        <v>0</v>
      </c>
      <c r="C74" s="892">
        <f>'2. LRAMVA Threshold'!L43</f>
        <v>0</v>
      </c>
      <c r="D74" s="46"/>
      <c r="E74" s="46"/>
      <c r="F74" s="46"/>
      <c r="G74" s="46"/>
      <c r="H74" s="46"/>
      <c r="I74" s="46"/>
      <c r="J74" s="46"/>
      <c r="K74" s="46"/>
      <c r="L74" s="46"/>
      <c r="M74" s="46"/>
      <c r="N74" s="46"/>
      <c r="O74" s="69"/>
    </row>
    <row r="75" spans="1:15" s="18" customFormat="1" ht="14.5" hidden="1" outlineLevel="1">
      <c r="A75" s="4"/>
      <c r="B75" s="529" t="s">
        <v>510</v>
      </c>
      <c r="C75" s="890"/>
      <c r="D75" s="46"/>
      <c r="E75" s="46"/>
      <c r="F75" s="46"/>
      <c r="G75" s="46"/>
      <c r="H75" s="46"/>
      <c r="I75" s="46"/>
      <c r="J75" s="46"/>
      <c r="K75" s="46"/>
      <c r="L75" s="46"/>
      <c r="M75" s="46"/>
      <c r="N75" s="46"/>
      <c r="O75" s="69"/>
    </row>
    <row r="76" spans="1:15" s="18" customFormat="1" ht="14.5" hidden="1" outlineLevel="1">
      <c r="A76" s="4"/>
      <c r="B76" s="529" t="s">
        <v>511</v>
      </c>
      <c r="C76" s="890"/>
      <c r="D76" s="46"/>
      <c r="E76" s="46"/>
      <c r="F76" s="46"/>
      <c r="G76" s="46"/>
      <c r="H76" s="46"/>
      <c r="I76" s="46"/>
      <c r="J76" s="46"/>
      <c r="K76" s="46"/>
      <c r="L76" s="46"/>
      <c r="M76" s="46"/>
      <c r="N76" s="46"/>
      <c r="O76" s="69"/>
    </row>
    <row r="77" spans="1:15" s="18" customFormat="1" ht="14.5" hidden="1" outlineLevel="1">
      <c r="A77" s="4"/>
      <c r="B77" s="529" t="s">
        <v>489</v>
      </c>
      <c r="C77" s="890"/>
      <c r="D77" s="46"/>
      <c r="E77" s="46"/>
      <c r="F77" s="46"/>
      <c r="G77" s="46"/>
      <c r="H77" s="46"/>
      <c r="I77" s="46"/>
      <c r="J77" s="46"/>
      <c r="K77" s="46"/>
      <c r="L77" s="46"/>
      <c r="M77" s="46"/>
      <c r="N77" s="46"/>
      <c r="O77" s="69"/>
    </row>
    <row r="78" spans="1:15" s="18" customFormat="1" ht="14.5" collapsed="1">
      <c r="A78" s="4"/>
      <c r="B78" s="529" t="s">
        <v>512</v>
      </c>
      <c r="C78" s="893"/>
      <c r="D78" s="65">
        <f>SUM(D74:D77)</f>
        <v>0</v>
      </c>
      <c r="E78" s="65">
        <f>SUM(E74:E77)</f>
        <v>0</v>
      </c>
      <c r="F78" s="65">
        <f t="shared" si="18" ref="F78:N7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t="14.5">
      <c r="A79" s="72"/>
      <c r="B79" s="486" t="s">
        <v>513</v>
      </c>
      <c r="C79" s="482"/>
      <c r="D79" s="71"/>
      <c r="E79" s="478">
        <f t="shared" si="19" ref="E79:N79">ROUND(SUM(D78*E16+E78*E17)/12,4)</f>
        <v>0</v>
      </c>
      <c r="F79" s="478">
        <f t="shared" si="19"/>
        <v>0</v>
      </c>
      <c r="G79" s="478">
        <f t="shared" si="19"/>
        <v>0</v>
      </c>
      <c r="H79" s="478">
        <f t="shared" si="19"/>
        <v>0</v>
      </c>
      <c r="I79" s="478">
        <f t="shared" si="19"/>
        <v>0</v>
      </c>
      <c r="J79" s="478">
        <f t="shared" si="19"/>
        <v>0</v>
      </c>
      <c r="K79" s="478">
        <f t="shared" si="19"/>
        <v>0</v>
      </c>
      <c r="L79" s="478">
        <f t="shared" si="19"/>
        <v>0</v>
      </c>
      <c r="M79" s="478">
        <f t="shared" si="19"/>
        <v>0</v>
      </c>
      <c r="N79" s="478">
        <f t="shared" si="19"/>
        <v>0</v>
      </c>
      <c r="O79" s="483"/>
    </row>
    <row r="80" spans="1:15" s="14" customFormat="1" ht="14.5">
      <c r="A80" s="72"/>
      <c r="B80" s="475"/>
      <c r="C80" s="482"/>
      <c r="D80" s="71"/>
      <c r="E80" s="478"/>
      <c r="F80" s="478"/>
      <c r="G80" s="478"/>
      <c r="H80" s="478"/>
      <c r="I80" s="478"/>
      <c r="J80" s="478"/>
      <c r="K80" s="478"/>
      <c r="L80" s="478"/>
      <c r="M80" s="478"/>
      <c r="N80" s="478"/>
      <c r="O80" s="483"/>
    </row>
    <row r="81" spans="1:15" s="64" customFormat="1" ht="14">
      <c r="A81" s="62"/>
      <c r="B81" s="597">
        <f>'1.  LRAMVA Summary'!B38</f>
        <v>0</v>
      </c>
      <c r="C81" s="892">
        <f>'2. LRAMVA Threshold'!M43</f>
        <v>0</v>
      </c>
      <c r="D81" s="46"/>
      <c r="E81" s="46"/>
      <c r="F81" s="46"/>
      <c r="G81" s="46"/>
      <c r="H81" s="46"/>
      <c r="I81" s="46"/>
      <c r="J81" s="46"/>
      <c r="K81" s="46"/>
      <c r="L81" s="46"/>
      <c r="M81" s="46"/>
      <c r="N81" s="46"/>
      <c r="O81" s="69"/>
    </row>
    <row r="82" spans="1:15" s="18" customFormat="1" ht="14.5" hidden="1" outlineLevel="1">
      <c r="A82" s="4"/>
      <c r="B82" s="529" t="s">
        <v>510</v>
      </c>
      <c r="C82" s="890"/>
      <c r="D82" s="46"/>
      <c r="E82" s="46"/>
      <c r="F82" s="46"/>
      <c r="G82" s="46"/>
      <c r="H82" s="46"/>
      <c r="I82" s="46"/>
      <c r="J82" s="46"/>
      <c r="K82" s="46"/>
      <c r="L82" s="46"/>
      <c r="M82" s="46"/>
      <c r="N82" s="46"/>
      <c r="O82" s="69"/>
    </row>
    <row r="83" spans="1:15" s="18" customFormat="1" ht="14.5" hidden="1" outlineLevel="1">
      <c r="A83" s="4"/>
      <c r="B83" s="529" t="s">
        <v>511</v>
      </c>
      <c r="C83" s="890"/>
      <c r="D83" s="46"/>
      <c r="E83" s="46"/>
      <c r="F83" s="46"/>
      <c r="G83" s="46"/>
      <c r="H83" s="46"/>
      <c r="I83" s="46"/>
      <c r="J83" s="46"/>
      <c r="K83" s="46"/>
      <c r="L83" s="46"/>
      <c r="M83" s="46"/>
      <c r="N83" s="46"/>
      <c r="O83" s="69"/>
    </row>
    <row r="84" spans="1:15" s="18" customFormat="1" ht="14.5" hidden="1" outlineLevel="1">
      <c r="A84" s="4"/>
      <c r="B84" s="529" t="s">
        <v>489</v>
      </c>
      <c r="C84" s="890"/>
      <c r="D84" s="46"/>
      <c r="E84" s="46"/>
      <c r="F84" s="46"/>
      <c r="G84" s="46"/>
      <c r="H84" s="46"/>
      <c r="I84" s="46"/>
      <c r="J84" s="46"/>
      <c r="K84" s="46"/>
      <c r="L84" s="46"/>
      <c r="M84" s="46"/>
      <c r="N84" s="46"/>
      <c r="O84" s="69"/>
    </row>
    <row r="85" spans="1:15" s="18" customFormat="1" ht="14.5" collapsed="1">
      <c r="A85" s="4"/>
      <c r="B85" s="529" t="s">
        <v>512</v>
      </c>
      <c r="C85" s="893"/>
      <c r="D85" s="65">
        <f>SUM(D81:D84)</f>
        <v>0</v>
      </c>
      <c r="E85" s="65">
        <f>SUM(E81:E84)</f>
        <v>0</v>
      </c>
      <c r="F85" s="65">
        <f t="shared" si="20" ref="F85:N85">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t="14.5">
      <c r="A86" s="72"/>
      <c r="B86" s="486" t="s">
        <v>513</v>
      </c>
      <c r="C86" s="482"/>
      <c r="D86" s="71"/>
      <c r="E86" s="478">
        <f t="shared" si="21" ref="E86:N86">ROUND(SUM(D85*E16+E85*E17)/12,4)</f>
        <v>0</v>
      </c>
      <c r="F86" s="478">
        <f t="shared" si="21"/>
        <v>0</v>
      </c>
      <c r="G86" s="478">
        <f t="shared" si="21"/>
        <v>0</v>
      </c>
      <c r="H86" s="478">
        <f t="shared" si="21"/>
        <v>0</v>
      </c>
      <c r="I86" s="478">
        <f t="shared" si="21"/>
        <v>0</v>
      </c>
      <c r="J86" s="478">
        <f t="shared" si="21"/>
        <v>0</v>
      </c>
      <c r="K86" s="478">
        <f t="shared" si="21"/>
        <v>0</v>
      </c>
      <c r="L86" s="478">
        <f t="shared" si="21"/>
        <v>0</v>
      </c>
      <c r="M86" s="478">
        <f t="shared" si="21"/>
        <v>0</v>
      </c>
      <c r="N86" s="478">
        <f t="shared" si="21"/>
        <v>0</v>
      </c>
      <c r="O86" s="483"/>
    </row>
    <row r="87" spans="1:15" s="14" customFormat="1" ht="14.5">
      <c r="A87" s="72"/>
      <c r="B87" s="475"/>
      <c r="C87" s="482"/>
      <c r="D87" s="71"/>
      <c r="E87" s="478"/>
      <c r="F87" s="478"/>
      <c r="G87" s="478"/>
      <c r="H87" s="478"/>
      <c r="I87" s="478"/>
      <c r="J87" s="478"/>
      <c r="K87" s="478"/>
      <c r="L87" s="478"/>
      <c r="M87" s="478"/>
      <c r="N87" s="478"/>
      <c r="O87" s="483"/>
    </row>
    <row r="88" spans="1:15" s="64" customFormat="1" ht="14">
      <c r="A88" s="62"/>
      <c r="B88" s="597">
        <f>'1.  LRAMVA Summary'!B39</f>
        <v>0</v>
      </c>
      <c r="C88" s="892">
        <f>'2. LRAMVA Threshold'!N43</f>
        <v>0</v>
      </c>
      <c r="D88" s="46"/>
      <c r="E88" s="46"/>
      <c r="F88" s="46"/>
      <c r="G88" s="46"/>
      <c r="H88" s="46"/>
      <c r="I88" s="46"/>
      <c r="J88" s="46"/>
      <c r="K88" s="46"/>
      <c r="L88" s="46"/>
      <c r="M88" s="46"/>
      <c r="N88" s="46"/>
      <c r="O88" s="69"/>
    </row>
    <row r="89" spans="1:15" s="18" customFormat="1" ht="14.5" hidden="1" outlineLevel="1">
      <c r="A89" s="4"/>
      <c r="B89" s="529" t="s">
        <v>510</v>
      </c>
      <c r="C89" s="890"/>
      <c r="D89" s="46"/>
      <c r="E89" s="46"/>
      <c r="F89" s="46"/>
      <c r="G89" s="46"/>
      <c r="H89" s="46"/>
      <c r="I89" s="46"/>
      <c r="J89" s="46"/>
      <c r="K89" s="46"/>
      <c r="L89" s="46"/>
      <c r="M89" s="46"/>
      <c r="N89" s="46"/>
      <c r="O89" s="69"/>
    </row>
    <row r="90" spans="1:15" s="18" customFormat="1" ht="14.5" hidden="1" outlineLevel="1">
      <c r="A90" s="4"/>
      <c r="B90" s="529" t="s">
        <v>511</v>
      </c>
      <c r="C90" s="890"/>
      <c r="D90" s="46"/>
      <c r="E90" s="46"/>
      <c r="F90" s="46"/>
      <c r="G90" s="46"/>
      <c r="H90" s="46"/>
      <c r="I90" s="46"/>
      <c r="J90" s="46"/>
      <c r="K90" s="46"/>
      <c r="L90" s="46"/>
      <c r="M90" s="46"/>
      <c r="N90" s="46"/>
      <c r="O90" s="69"/>
    </row>
    <row r="91" spans="1:15" s="18" customFormat="1" ht="14.5" hidden="1" outlineLevel="1">
      <c r="A91" s="4"/>
      <c r="B91" s="529" t="s">
        <v>489</v>
      </c>
      <c r="C91" s="890"/>
      <c r="D91" s="46"/>
      <c r="E91" s="46"/>
      <c r="F91" s="46"/>
      <c r="G91" s="46"/>
      <c r="H91" s="46"/>
      <c r="I91" s="46"/>
      <c r="J91" s="46"/>
      <c r="K91" s="46"/>
      <c r="L91" s="46"/>
      <c r="M91" s="46"/>
      <c r="N91" s="46"/>
      <c r="O91" s="69"/>
    </row>
    <row r="92" spans="1:15" s="18" customFormat="1" ht="14.5" collapsed="1">
      <c r="A92" s="4"/>
      <c r="B92" s="529" t="s">
        <v>512</v>
      </c>
      <c r="C92" s="893"/>
      <c r="D92" s="65">
        <f>SUM(D88:D91)</f>
        <v>0</v>
      </c>
      <c r="E92" s="65">
        <f>SUM(E88:E91)</f>
        <v>0</v>
      </c>
      <c r="F92" s="65">
        <f t="shared" si="22" ref="F92:N9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t="14.5">
      <c r="A93" s="72"/>
      <c r="B93" s="486" t="s">
        <v>513</v>
      </c>
      <c r="C93" s="482"/>
      <c r="D93" s="71"/>
      <c r="E93" s="478">
        <f t="shared" si="23" ref="E93:N93">ROUND(SUM(D92*E16+E92*E17)/12,4)</f>
        <v>0</v>
      </c>
      <c r="F93" s="478">
        <f t="shared" si="23"/>
        <v>0</v>
      </c>
      <c r="G93" s="478">
        <f t="shared" si="23"/>
        <v>0</v>
      </c>
      <c r="H93" s="478">
        <f t="shared" si="23"/>
        <v>0</v>
      </c>
      <c r="I93" s="478">
        <f t="shared" si="23"/>
        <v>0</v>
      </c>
      <c r="J93" s="478">
        <f t="shared" si="23"/>
        <v>0</v>
      </c>
      <c r="K93" s="478">
        <f t="shared" si="23"/>
        <v>0</v>
      </c>
      <c r="L93" s="478">
        <f t="shared" si="23"/>
        <v>0</v>
      </c>
      <c r="M93" s="478">
        <f t="shared" si="23"/>
        <v>0</v>
      </c>
      <c r="N93" s="478">
        <f t="shared" si="23"/>
        <v>0</v>
      </c>
      <c r="O93" s="483"/>
    </row>
    <row r="94" spans="1:15" s="14" customFormat="1" ht="14.5">
      <c r="A94" s="72"/>
      <c r="B94" s="475"/>
      <c r="C94" s="482"/>
      <c r="D94" s="71"/>
      <c r="E94" s="478"/>
      <c r="F94" s="478"/>
      <c r="G94" s="478"/>
      <c r="H94" s="478"/>
      <c r="I94" s="478"/>
      <c r="J94" s="478"/>
      <c r="K94" s="478"/>
      <c r="L94" s="478"/>
      <c r="M94" s="478"/>
      <c r="N94" s="478"/>
      <c r="O94" s="483"/>
    </row>
    <row r="95" spans="1:15" s="64" customFormat="1" ht="14">
      <c r="A95" s="62"/>
      <c r="B95" s="597">
        <f>'1.  LRAMVA Summary'!B40</f>
        <v>0</v>
      </c>
      <c r="C95" s="892">
        <f>'2. LRAMVA Threshold'!O43</f>
        <v>0</v>
      </c>
      <c r="D95" s="46"/>
      <c r="E95" s="46"/>
      <c r="F95" s="46"/>
      <c r="G95" s="46"/>
      <c r="H95" s="46"/>
      <c r="I95" s="46"/>
      <c r="J95" s="46"/>
      <c r="K95" s="46"/>
      <c r="L95" s="46"/>
      <c r="M95" s="46"/>
      <c r="N95" s="46"/>
      <c r="O95" s="69"/>
    </row>
    <row r="96" spans="1:15" s="18" customFormat="1" ht="14.5" hidden="1" outlineLevel="1">
      <c r="A96" s="4"/>
      <c r="B96" s="529" t="s">
        <v>510</v>
      </c>
      <c r="C96" s="890"/>
      <c r="D96" s="46"/>
      <c r="E96" s="46"/>
      <c r="F96" s="46"/>
      <c r="G96" s="46"/>
      <c r="H96" s="46"/>
      <c r="I96" s="46"/>
      <c r="J96" s="46"/>
      <c r="K96" s="46"/>
      <c r="L96" s="46"/>
      <c r="M96" s="46"/>
      <c r="N96" s="46"/>
      <c r="O96" s="69"/>
    </row>
    <row r="97" spans="1:15" s="18" customFormat="1" ht="14.5" hidden="1" outlineLevel="1">
      <c r="A97" s="4"/>
      <c r="B97" s="529" t="s">
        <v>511</v>
      </c>
      <c r="C97" s="890"/>
      <c r="D97" s="46"/>
      <c r="E97" s="46"/>
      <c r="F97" s="46"/>
      <c r="G97" s="46"/>
      <c r="H97" s="46"/>
      <c r="I97" s="46"/>
      <c r="J97" s="46"/>
      <c r="K97" s="46"/>
      <c r="L97" s="46"/>
      <c r="M97" s="46"/>
      <c r="N97" s="46"/>
      <c r="O97" s="69"/>
    </row>
    <row r="98" spans="1:15" s="18" customFormat="1" ht="14.5" hidden="1" outlineLevel="1">
      <c r="A98" s="4"/>
      <c r="B98" s="529" t="s">
        <v>489</v>
      </c>
      <c r="C98" s="890"/>
      <c r="D98" s="46"/>
      <c r="E98" s="46"/>
      <c r="F98" s="46"/>
      <c r="G98" s="46"/>
      <c r="H98" s="46"/>
      <c r="I98" s="46"/>
      <c r="J98" s="46"/>
      <c r="K98" s="46"/>
      <c r="L98" s="46"/>
      <c r="M98" s="46"/>
      <c r="N98" s="46"/>
      <c r="O98" s="69"/>
    </row>
    <row r="99" spans="1:15" s="18" customFormat="1" ht="14.5" collapsed="1">
      <c r="A99" s="4"/>
      <c r="B99" s="529" t="s">
        <v>512</v>
      </c>
      <c r="C99" s="893"/>
      <c r="D99" s="65">
        <f>SUM(D95:D98)</f>
        <v>0</v>
      </c>
      <c r="E99" s="65">
        <f>SUM(E95:E98)</f>
        <v>0</v>
      </c>
      <c r="F99" s="65">
        <f t="shared" si="24" ref="F99:N99">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t="14.5">
      <c r="A100" s="72"/>
      <c r="B100" s="486" t="s">
        <v>513</v>
      </c>
      <c r="C100" s="482"/>
      <c r="D100" s="71"/>
      <c r="E100" s="478">
        <f t="shared" si="25" ref="E100:N100">ROUND(SUM(D99*E16+E99*E17)/12,4)</f>
        <v>0</v>
      </c>
      <c r="F100" s="478">
        <f t="shared" si="25"/>
        <v>0</v>
      </c>
      <c r="G100" s="478">
        <f t="shared" si="25"/>
        <v>0</v>
      </c>
      <c r="H100" s="478">
        <f t="shared" si="25"/>
        <v>0</v>
      </c>
      <c r="I100" s="478">
        <f t="shared" si="25"/>
        <v>0</v>
      </c>
      <c r="J100" s="478">
        <f t="shared" si="25"/>
        <v>0</v>
      </c>
      <c r="K100" s="478">
        <f t="shared" si="25"/>
        <v>0</v>
      </c>
      <c r="L100" s="478">
        <f t="shared" si="25"/>
        <v>0</v>
      </c>
      <c r="M100" s="478">
        <f t="shared" si="25"/>
        <v>0</v>
      </c>
      <c r="N100" s="478">
        <f t="shared" si="25"/>
        <v>0</v>
      </c>
      <c r="O100" s="483"/>
    </row>
    <row r="101" spans="1:15" s="14" customFormat="1" ht="14.5">
      <c r="A101" s="72"/>
      <c r="B101" s="475"/>
      <c r="C101" s="482"/>
      <c r="D101" s="71"/>
      <c r="E101" s="478"/>
      <c r="F101" s="478"/>
      <c r="G101" s="478"/>
      <c r="H101" s="478"/>
      <c r="I101" s="478"/>
      <c r="J101" s="478"/>
      <c r="K101" s="478"/>
      <c r="L101" s="478"/>
      <c r="M101" s="478"/>
      <c r="N101" s="478"/>
      <c r="O101" s="483"/>
    </row>
    <row r="102" spans="1:15" s="64" customFormat="1" ht="14">
      <c r="A102" s="62"/>
      <c r="B102" s="597">
        <f>'1.  LRAMVA Summary'!B41</f>
        <v>0</v>
      </c>
      <c r="C102" s="892">
        <f>'2. LRAMVA Threshold'!P43</f>
        <v>0</v>
      </c>
      <c r="D102" s="46"/>
      <c r="E102" s="46"/>
      <c r="F102" s="46"/>
      <c r="G102" s="46"/>
      <c r="H102" s="46"/>
      <c r="I102" s="46"/>
      <c r="J102" s="46"/>
      <c r="K102" s="46"/>
      <c r="L102" s="46"/>
      <c r="M102" s="46"/>
      <c r="N102" s="46"/>
      <c r="O102" s="69"/>
    </row>
    <row r="103" spans="1:15" s="18" customFormat="1" ht="14.5" hidden="1" outlineLevel="1">
      <c r="A103" s="4"/>
      <c r="B103" s="529" t="s">
        <v>510</v>
      </c>
      <c r="C103" s="890"/>
      <c r="D103" s="46"/>
      <c r="E103" s="46"/>
      <c r="F103" s="46"/>
      <c r="G103" s="46"/>
      <c r="H103" s="46"/>
      <c r="I103" s="46"/>
      <c r="J103" s="46"/>
      <c r="K103" s="46"/>
      <c r="L103" s="46"/>
      <c r="M103" s="46"/>
      <c r="N103" s="46"/>
      <c r="O103" s="69"/>
    </row>
    <row r="104" spans="1:15" s="18" customFormat="1" ht="14.5" hidden="1" outlineLevel="1">
      <c r="A104" s="4"/>
      <c r="B104" s="529" t="s">
        <v>511</v>
      </c>
      <c r="C104" s="890"/>
      <c r="D104" s="46"/>
      <c r="E104" s="46"/>
      <c r="F104" s="46"/>
      <c r="G104" s="46"/>
      <c r="H104" s="46"/>
      <c r="I104" s="46"/>
      <c r="J104" s="46"/>
      <c r="K104" s="46"/>
      <c r="L104" s="46"/>
      <c r="M104" s="46"/>
      <c r="N104" s="46"/>
      <c r="O104" s="69"/>
    </row>
    <row r="105" spans="1:15" s="18" customFormat="1" ht="14.5" hidden="1" outlineLevel="1">
      <c r="A105" s="4"/>
      <c r="B105" s="529" t="s">
        <v>489</v>
      </c>
      <c r="C105" s="890"/>
      <c r="D105" s="46"/>
      <c r="E105" s="46"/>
      <c r="F105" s="46"/>
      <c r="G105" s="46"/>
      <c r="H105" s="46"/>
      <c r="I105" s="46"/>
      <c r="J105" s="46"/>
      <c r="K105" s="46"/>
      <c r="L105" s="46"/>
      <c r="M105" s="46"/>
      <c r="N105" s="46"/>
      <c r="O105" s="69"/>
    </row>
    <row r="106" spans="1:15" s="18" customFormat="1" ht="14.5" collapsed="1">
      <c r="A106" s="4"/>
      <c r="B106" s="529" t="s">
        <v>512</v>
      </c>
      <c r="C106" s="893"/>
      <c r="D106" s="65">
        <f>SUM(D102:D105)</f>
        <v>0</v>
      </c>
      <c r="E106" s="65">
        <f>SUM(E102:E105)</f>
        <v>0</v>
      </c>
      <c r="F106" s="65">
        <f>SUM(F102:F105)</f>
        <v>0</v>
      </c>
      <c r="G106" s="65">
        <f t="shared" si="26" ref="G106:N10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t="14.5">
      <c r="A107" s="72"/>
      <c r="B107" s="486" t="s">
        <v>513</v>
      </c>
      <c r="C107" s="482"/>
      <c r="D107" s="71"/>
      <c r="E107" s="478">
        <f t="shared" si="27" ref="E107:N107">ROUND(SUM(D106*E16+E106*E17)/12,4)</f>
        <v>0</v>
      </c>
      <c r="F107" s="478">
        <f t="shared" si="27"/>
        <v>0</v>
      </c>
      <c r="G107" s="478">
        <f t="shared" si="27"/>
        <v>0</v>
      </c>
      <c r="H107" s="478">
        <f t="shared" si="27"/>
        <v>0</v>
      </c>
      <c r="I107" s="478">
        <f t="shared" si="27"/>
        <v>0</v>
      </c>
      <c r="J107" s="478">
        <f t="shared" si="27"/>
        <v>0</v>
      </c>
      <c r="K107" s="478">
        <f t="shared" si="27"/>
        <v>0</v>
      </c>
      <c r="L107" s="478">
        <f t="shared" si="27"/>
        <v>0</v>
      </c>
      <c r="M107" s="478">
        <f t="shared" si="27"/>
        <v>0</v>
      </c>
      <c r="N107" s="478">
        <f t="shared" si="27"/>
        <v>0</v>
      </c>
      <c r="O107" s="483"/>
    </row>
    <row r="108" spans="1:15" s="14" customFormat="1" ht="14.5">
      <c r="A108" s="72"/>
      <c r="B108" s="475"/>
      <c r="C108" s="482"/>
      <c r="D108" s="71"/>
      <c r="E108" s="478"/>
      <c r="F108" s="478"/>
      <c r="G108" s="478"/>
      <c r="H108" s="478"/>
      <c r="I108" s="478"/>
      <c r="J108" s="478"/>
      <c r="K108" s="478"/>
      <c r="L108" s="478"/>
      <c r="M108" s="478"/>
      <c r="N108" s="478"/>
      <c r="O108" s="483"/>
    </row>
    <row r="109" spans="1:15" s="64" customFormat="1" ht="14">
      <c r="A109" s="62"/>
      <c r="B109" s="597">
        <f>'1.  LRAMVA Summary'!B42</f>
        <v>0</v>
      </c>
      <c r="C109" s="892">
        <f>'2. LRAMVA Threshold'!Q43</f>
        <v>0</v>
      </c>
      <c r="D109" s="46"/>
      <c r="E109" s="46"/>
      <c r="F109" s="46"/>
      <c r="G109" s="46"/>
      <c r="H109" s="46"/>
      <c r="I109" s="46"/>
      <c r="J109" s="46"/>
      <c r="K109" s="46"/>
      <c r="L109" s="46"/>
      <c r="M109" s="46"/>
      <c r="N109" s="46"/>
      <c r="O109" s="69"/>
    </row>
    <row r="110" spans="1:15" s="18" customFormat="1" ht="14.5" hidden="1" outlineLevel="1">
      <c r="A110" s="4"/>
      <c r="B110" s="529" t="s">
        <v>510</v>
      </c>
      <c r="C110" s="890"/>
      <c r="D110" s="46"/>
      <c r="E110" s="46"/>
      <c r="F110" s="46"/>
      <c r="G110" s="46"/>
      <c r="H110" s="46"/>
      <c r="I110" s="46"/>
      <c r="J110" s="46"/>
      <c r="K110" s="46"/>
      <c r="L110" s="46"/>
      <c r="M110" s="46"/>
      <c r="N110" s="46"/>
      <c r="O110" s="69"/>
    </row>
    <row r="111" spans="1:15" s="18" customFormat="1" ht="14.5" hidden="1" outlineLevel="1">
      <c r="A111" s="4"/>
      <c r="B111" s="529" t="s">
        <v>511</v>
      </c>
      <c r="C111" s="890"/>
      <c r="D111" s="46"/>
      <c r="E111" s="46"/>
      <c r="F111" s="46"/>
      <c r="G111" s="46"/>
      <c r="H111" s="46"/>
      <c r="I111" s="46"/>
      <c r="J111" s="46"/>
      <c r="K111" s="46"/>
      <c r="L111" s="46"/>
      <c r="M111" s="46"/>
      <c r="N111" s="46"/>
      <c r="O111" s="69"/>
    </row>
    <row r="112" spans="1:15" s="18" customFormat="1" ht="14.5" hidden="1" outlineLevel="1">
      <c r="A112" s="4"/>
      <c r="B112" s="529" t="s">
        <v>489</v>
      </c>
      <c r="C112" s="890"/>
      <c r="D112" s="46"/>
      <c r="E112" s="46"/>
      <c r="F112" s="46"/>
      <c r="G112" s="46"/>
      <c r="H112" s="46"/>
      <c r="I112" s="46"/>
      <c r="J112" s="46"/>
      <c r="K112" s="46"/>
      <c r="L112" s="46"/>
      <c r="M112" s="46"/>
      <c r="N112" s="46"/>
      <c r="O112" s="69"/>
    </row>
    <row r="113" spans="1:15" s="18" customFormat="1" ht="14.5" collapsed="1">
      <c r="A113" s="4"/>
      <c r="B113" s="529" t="s">
        <v>512</v>
      </c>
      <c r="C113" s="893"/>
      <c r="D113" s="65">
        <f>SUM(D109:D112)</f>
        <v>0</v>
      </c>
      <c r="E113" s="65">
        <f>SUM(E109:E112)</f>
        <v>0</v>
      </c>
      <c r="F113" s="65">
        <f>SUM(F109:F112)</f>
        <v>0</v>
      </c>
      <c r="G113" s="65">
        <f>SUM(G109:G112)</f>
        <v>0</v>
      </c>
      <c r="H113" s="65">
        <f t="shared" si="28" ref="H113:N113">SUM(H109:H112)</f>
        <v>0</v>
      </c>
      <c r="I113" s="65">
        <f t="shared" si="28"/>
        <v>0</v>
      </c>
      <c r="J113" s="65">
        <f t="shared" si="28"/>
        <v>0</v>
      </c>
      <c r="K113" s="65">
        <f t="shared" si="28"/>
        <v>0</v>
      </c>
      <c r="L113" s="65">
        <f t="shared" si="28"/>
        <v>0</v>
      </c>
      <c r="M113" s="65">
        <f t="shared" si="28"/>
        <v>0</v>
      </c>
      <c r="N113" s="65">
        <f t="shared" si="28"/>
        <v>0</v>
      </c>
      <c r="O113" s="77"/>
    </row>
    <row r="114" spans="1:15" s="14" customFormat="1" ht="14.5">
      <c r="A114" s="72"/>
      <c r="B114" s="486" t="s">
        <v>513</v>
      </c>
      <c r="C114" s="482"/>
      <c r="D114" s="71"/>
      <c r="E114" s="478">
        <f t="shared" si="29" ref="E114:N114">ROUND(SUM(D113*E16+E113*E17)/12,4)</f>
        <v>0</v>
      </c>
      <c r="F114" s="478">
        <f t="shared" si="29"/>
        <v>0</v>
      </c>
      <c r="G114" s="478">
        <f t="shared" si="29"/>
        <v>0</v>
      </c>
      <c r="H114" s="478">
        <f t="shared" si="29"/>
        <v>0</v>
      </c>
      <c r="I114" s="478">
        <f t="shared" si="29"/>
        <v>0</v>
      </c>
      <c r="J114" s="478">
        <f t="shared" si="29"/>
        <v>0</v>
      </c>
      <c r="K114" s="478">
        <f t="shared" si="29"/>
        <v>0</v>
      </c>
      <c r="L114" s="478">
        <f t="shared" si="29"/>
        <v>0</v>
      </c>
      <c r="M114" s="478">
        <f t="shared" si="29"/>
        <v>0</v>
      </c>
      <c r="N114" s="478">
        <f t="shared" si="29"/>
        <v>0</v>
      </c>
      <c r="O114" s="483"/>
    </row>
    <row r="115" spans="1:15" s="70" customFormat="1" ht="14">
      <c r="A115" s="72"/>
      <c r="B115" s="74"/>
      <c r="C115" s="81"/>
      <c r="D115" s="75"/>
      <c r="E115" s="75"/>
      <c r="F115" s="75"/>
      <c r="G115" s="75"/>
      <c r="H115" s="75"/>
      <c r="I115" s="75"/>
      <c r="J115" s="75"/>
      <c r="K115" s="489"/>
      <c r="L115" s="490"/>
      <c r="M115" s="490"/>
      <c r="N115" s="490"/>
      <c r="O115" s="491"/>
    </row>
    <row r="116" spans="1:15" s="3" customFormat="1" ht="21" customHeight="1">
      <c r="A116" s="4"/>
      <c r="B116" s="492" t="s">
        <v>612</v>
      </c>
      <c r="C116" s="98"/>
      <c r="D116" s="493"/>
      <c r="E116" s="493"/>
      <c r="F116" s="493"/>
      <c r="G116" s="493"/>
      <c r="H116" s="493"/>
      <c r="I116" s="493"/>
      <c r="J116" s="493"/>
      <c r="K116" s="493"/>
      <c r="L116" s="493"/>
      <c r="M116" s="493"/>
      <c r="N116" s="493"/>
      <c r="O116" s="493"/>
    </row>
    <row r="119" spans="2:10" ht="15.5">
      <c r="B119" s="118" t="s">
        <v>483</v>
      </c>
      <c r="J119" s="18"/>
    </row>
    <row r="120" spans="1:16" s="14" customFormat="1" ht="75.75" customHeight="1">
      <c r="A120" s="72"/>
      <c r="B120" s="897" t="s">
        <v>673</v>
      </c>
      <c r="C120" s="897"/>
      <c r="D120" s="897"/>
      <c r="E120" s="897"/>
      <c r="F120" s="897"/>
      <c r="G120" s="897"/>
      <c r="H120" s="897"/>
      <c r="I120" s="897"/>
      <c r="J120" s="897"/>
      <c r="K120" s="897"/>
      <c r="L120" s="897"/>
      <c r="M120" s="897"/>
      <c r="N120" s="897"/>
      <c r="O120" s="897"/>
      <c r="P120" s="897"/>
    </row>
    <row r="121" spans="1:3" s="18" customFormat="1" ht="9" customHeight="1">
      <c r="A121" s="4"/>
      <c r="B121" s="118"/>
      <c r="C121" s="78"/>
    </row>
    <row r="122" spans="2:17" ht="63.75" customHeight="1">
      <c r="B122" s="244" t="s">
        <v>234</v>
      </c>
      <c r="C122" s="244" t="str">
        <f>'1.  LRAMVA Summary'!D52</f>
        <v>Residential</v>
      </c>
      <c r="D122" s="244" t="str">
        <f>'1.  LRAMVA Summary'!E52</f>
        <v>GS&lt;50 kW</v>
      </c>
      <c r="E122" s="244" t="str">
        <f>'1.  LRAMVA Summary'!F52</f>
        <v>GS 50 - 999 kW</v>
      </c>
      <c r="F122" s="244" t="str">
        <f>'1.  LRAMVA Summary'!G52</f>
        <v>GS 1,000 - 4,999 kW</v>
      </c>
      <c r="G122" s="244" t="str">
        <f>'1.  LRAMVA Summary'!H52</f>
        <v>USL</v>
      </c>
      <c r="H122" s="244" t="str">
        <f>'1.  LRAMVA Summary'!I52</f>
        <v>Sentinel Lighting</v>
      </c>
      <c r="I122" s="244" t="str">
        <f>'1.  LRAMVA Summary'!J52</f>
        <v>Street Lighting</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6" s="18" customFormat="1" ht="14.5">
      <c r="A123" s="91"/>
      <c r="B123" s="578"/>
      <c r="C123" s="579" t="str">
        <f>'1.  LRAMVA Summary'!D53</f>
        <v>kWh</v>
      </c>
      <c r="D123" s="579" t="str">
        <f>'1.  LRAMVA Summary'!E53</f>
        <v>kWh</v>
      </c>
      <c r="E123" s="579" t="str">
        <f>'1.  LRAMVA Summary'!F53</f>
        <v>kW</v>
      </c>
      <c r="F123" s="579" t="str">
        <f>'1.  LRAMVA Summary'!G53</f>
        <v>kW</v>
      </c>
      <c r="G123" s="579" t="str">
        <f>'1.  LRAMVA Summary'!H53</f>
        <v>kWh</v>
      </c>
      <c r="H123" s="579" t="str">
        <f>'1.  LRAMVA Summary'!I53</f>
        <v>kW</v>
      </c>
      <c r="I123" s="579" t="str">
        <f>'1.  LRAMVA Summary'!J53</f>
        <v>kW</v>
      </c>
      <c r="J123" s="579">
        <f>'1.  LRAMVA Summary'!K53</f>
        <v>0</v>
      </c>
      <c r="K123" s="579">
        <f>'1.  LRAMVA Summary'!L53</f>
        <v>0</v>
      </c>
      <c r="L123" s="579">
        <f>'1.  LRAMVA Summary'!M53</f>
        <v>0</v>
      </c>
      <c r="M123" s="579">
        <f>'1.  LRAMVA Summary'!N53</f>
        <v>0</v>
      </c>
      <c r="N123" s="579">
        <f>'1.  LRAMVA Summary'!O53</f>
        <v>0</v>
      </c>
      <c r="O123" s="579">
        <f>'1.  LRAMVA Summary'!P53</f>
        <v>0</v>
      </c>
      <c r="P123" s="580">
        <f>'1.  LRAMVA Summary'!Q53</f>
        <v>0</v>
      </c>
    </row>
    <row r="124" spans="2:16" ht="14.5">
      <c r="B124" s="494">
        <v>2011</v>
      </c>
      <c r="C124" s="673">
        <f t="shared" si="30" ref="C124:C129">HLOOKUP(B124,$E$15:$O$114,9,FALSE)</f>
        <v>0</v>
      </c>
      <c r="D124" s="674">
        <f>HLOOKUP(B124,$E$15:$O$114,16,FALSE)</f>
        <v>0</v>
      </c>
      <c r="E124" s="675">
        <f>HLOOKUP(B124,$E$15:$O$114,23,FALSE)</f>
        <v>0</v>
      </c>
      <c r="F124" s="674">
        <f>HLOOKUP(B124,$E$15:$O$114,30,FALSE)</f>
        <v>0</v>
      </c>
      <c r="G124" s="675">
        <f>HLOOKUP(B124,$E$15:$O$114,37,FALSE)</f>
        <v>0</v>
      </c>
      <c r="H124" s="674">
        <f>HLOOKUP(B124,$E$15:$O$114,44,FALSE)</f>
        <v>0</v>
      </c>
      <c r="I124" s="675">
        <f>HLOOKUP(B124,$E$15:$O$114,51,FALSE)</f>
        <v>0</v>
      </c>
      <c r="J124" s="675">
        <f>HLOOKUP(B124,$E$15:$O$114,58,FALSE)</f>
        <v>0</v>
      </c>
      <c r="K124" s="675">
        <f>HLOOKUP(B124,$E$15:$O$114,65,FALSE)</f>
        <v>0</v>
      </c>
      <c r="L124" s="675">
        <f>HLOOKUP(B124,$E$15:$O$114,72,FALSE)</f>
        <v>0</v>
      </c>
      <c r="M124" s="675">
        <f>HLOOKUP(B124,$E$15:$O$114,79,FALSE)</f>
        <v>0</v>
      </c>
      <c r="N124" s="675">
        <f>HLOOKUP(B124,$E$15:$O$114,86,FALSE)</f>
        <v>0</v>
      </c>
      <c r="O124" s="675">
        <f>HLOOKUP(B124,$E$15:$O$114,93,FALSE)</f>
        <v>0</v>
      </c>
      <c r="P124" s="675">
        <f>HLOOKUP(B124,$E$15:$O$114,100,FALSE)</f>
        <v>0</v>
      </c>
    </row>
    <row r="125" spans="2:16" ht="14.5">
      <c r="B125" s="495">
        <v>2012</v>
      </c>
      <c r="C125" s="676">
        <f t="shared" si="30"/>
        <v>0</v>
      </c>
      <c r="D125" s="677">
        <f>HLOOKUP(B125,$E$15:$O$114,16,FALSE)</f>
        <v>0</v>
      </c>
      <c r="E125" s="678">
        <f>HLOOKUP(B125,$E$15:$O$114,23,FALSE)</f>
        <v>0</v>
      </c>
      <c r="F125" s="677">
        <f>HLOOKUP(B125,$E$15:$O$114,30,FALSE)</f>
        <v>0</v>
      </c>
      <c r="G125" s="678">
        <f>HLOOKUP(B125,$E$15:$O$114,37,FALSE)</f>
        <v>0</v>
      </c>
      <c r="H125" s="677">
        <f>HLOOKUP(B125,$E$15:$O$114,44,FALSE)</f>
        <v>0</v>
      </c>
      <c r="I125" s="678">
        <f>HLOOKUP(B125,$E$15:$O$114,51,FALSE)</f>
        <v>0</v>
      </c>
      <c r="J125" s="678">
        <f>HLOOKUP(B125,$E$15:$O$114,58,FALSE)</f>
        <v>0</v>
      </c>
      <c r="K125" s="678">
        <f>HLOOKUP(B125,$E$15:$O$114,65,FALSE)</f>
        <v>0</v>
      </c>
      <c r="L125" s="678">
        <f>HLOOKUP(B125,$E$15:$O$114,72,FALSE)</f>
        <v>0</v>
      </c>
      <c r="M125" s="678">
        <f>HLOOKUP(B125,$E$15:$O$114,79,FALSE)</f>
        <v>0</v>
      </c>
      <c r="N125" s="678">
        <f>HLOOKUP(B125,$E$15:$O$114,86,FALSE)</f>
        <v>0</v>
      </c>
      <c r="O125" s="678">
        <f>HLOOKUP(B125,$E$15:$O$114,93,FALSE)</f>
        <v>0</v>
      </c>
      <c r="P125" s="678">
        <f t="shared" si="31" ref="P125:P133">HLOOKUP(B125,$E$15:$O$114,100,FALSE)</f>
        <v>0</v>
      </c>
    </row>
    <row r="126" spans="2:16" ht="14.5">
      <c r="B126" s="495">
        <v>2013</v>
      </c>
      <c r="C126" s="676">
        <f t="shared" si="30"/>
        <v>0</v>
      </c>
      <c r="D126" s="677">
        <f t="shared" si="32" ref="D126:D133">HLOOKUP(B126,$E$15:$O$114,16,FALSE)</f>
        <v>0</v>
      </c>
      <c r="E126" s="678">
        <f t="shared" si="33" ref="E126:E133">HLOOKUP(B126,$E$15:$O$114,23,FALSE)</f>
        <v>0</v>
      </c>
      <c r="F126" s="677">
        <f t="shared" si="34" ref="F126:F133">HLOOKUP(B126,$E$15:$O$114,30,FALSE)</f>
        <v>0</v>
      </c>
      <c r="G126" s="678">
        <f t="shared" si="35" ref="G126:G132">HLOOKUP(B126,$E$15:$O$114,37,FALSE)</f>
        <v>0</v>
      </c>
      <c r="H126" s="677">
        <f t="shared" si="36" ref="H126:H133">HLOOKUP(B126,$E$15:$O$114,44,FALSE)</f>
        <v>0</v>
      </c>
      <c r="I126" s="678">
        <f t="shared" si="37" ref="I126:I133">HLOOKUP(B126,$E$15:$O$114,51,FALSE)</f>
        <v>0</v>
      </c>
      <c r="J126" s="678">
        <f t="shared" si="38" ref="J126:J133">HLOOKUP(B126,$E$15:$O$114,58,FALSE)</f>
        <v>0</v>
      </c>
      <c r="K126" s="678">
        <f t="shared" si="39" ref="K126:K133">HLOOKUP(B126,$E$15:$O$114,65,FALSE)</f>
        <v>0</v>
      </c>
      <c r="L126" s="678">
        <f>HLOOKUP(B126,$E$15:$O$114,72,FALSE)</f>
        <v>0</v>
      </c>
      <c r="M126" s="678">
        <f t="shared" si="40" ref="M126:M133">HLOOKUP(B126,$E$15:$O$114,79,FALSE)</f>
        <v>0</v>
      </c>
      <c r="N126" s="678">
        <f t="shared" si="41" ref="N126:N133">HLOOKUP(B126,$E$15:$O$114,86,FALSE)</f>
        <v>0</v>
      </c>
      <c r="O126" s="678">
        <f t="shared" si="42" ref="O126:O133">HLOOKUP(B126,$E$15:$O$114,93,FALSE)</f>
        <v>0</v>
      </c>
      <c r="P126" s="678">
        <f t="shared" si="31"/>
        <v>0</v>
      </c>
    </row>
    <row r="127" spans="2:16" ht="14.5">
      <c r="B127" s="495">
        <v>2014</v>
      </c>
      <c r="C127" s="676">
        <f t="shared" si="30"/>
        <v>0.0079000000000000008</v>
      </c>
      <c r="D127" s="677">
        <f>HLOOKUP(B127,$E$15:$O$114,16,FALSE)</f>
        <v>0.0055999999999999999</v>
      </c>
      <c r="E127" s="678">
        <f>HLOOKUP(B127,$E$15:$O$114,23,FALSE)</f>
        <v>2.2677</v>
      </c>
      <c r="F127" s="677">
        <f>HLOOKUP(B127,$E$15:$O$114,30,FALSE)</f>
        <v>2.0789</v>
      </c>
      <c r="G127" s="678">
        <f>HLOOKUP(B127,$E$15:$O$114,37,FALSE)</f>
        <v>0.0028999999999999998</v>
      </c>
      <c r="H127" s="677">
        <f>HLOOKUP(B127,$E$15:$O$114,44,FALSE)</f>
        <v>12.5731</v>
      </c>
      <c r="I127" s="678">
        <f>HLOOKUP(B127,$E$15:$O$114,51,FALSE)</f>
        <v>19.724900000000002</v>
      </c>
      <c r="J127" s="678">
        <f>HLOOKUP(B127,$E$15:$O$114,58,FALSE)</f>
        <v>0</v>
      </c>
      <c r="K127" s="678">
        <f>HLOOKUP(B127,$E$15:$O$114,65,FALSE)</f>
        <v>0</v>
      </c>
      <c r="L127" s="678">
        <f>HLOOKUP(B127,$E$15:$O$114,72,FALSE)</f>
        <v>0</v>
      </c>
      <c r="M127" s="678">
        <f>HLOOKUP(B127,$E$15:$O$114,79,FALSE)</f>
        <v>0</v>
      </c>
      <c r="N127" s="678">
        <f>HLOOKUP(B127,$E$15:$O$114,86,FALSE)</f>
        <v>0</v>
      </c>
      <c r="O127" s="678">
        <f>HLOOKUP(B127,$E$15:$O$114,93,FALSE)</f>
        <v>0</v>
      </c>
      <c r="P127" s="678">
        <f>HLOOKUP(B127,$E$15:$O$114,100,FALSE)</f>
        <v>0</v>
      </c>
    </row>
    <row r="128" spans="2:16" ht="14.5">
      <c r="B128" s="495">
        <v>2015</v>
      </c>
      <c r="C128" s="676">
        <f t="shared" si="30"/>
        <v>0.011900000000000001</v>
      </c>
      <c r="D128" s="677">
        <f t="shared" si="32"/>
        <v>0.0085000000000000006</v>
      </c>
      <c r="E128" s="678">
        <f t="shared" si="33"/>
        <v>3.4379</v>
      </c>
      <c r="F128" s="677">
        <f t="shared" si="34"/>
        <v>3.1516999999999999</v>
      </c>
      <c r="G128" s="678">
        <f t="shared" si="35"/>
        <v>0.0044999999999999997</v>
      </c>
      <c r="H128" s="677">
        <f t="shared" si="36"/>
        <v>19.0608</v>
      </c>
      <c r="I128" s="678">
        <f t="shared" si="37"/>
        <v>29.902999999999999</v>
      </c>
      <c r="J128" s="678">
        <f t="shared" si="38"/>
        <v>0</v>
      </c>
      <c r="K128" s="678">
        <f t="shared" si="39"/>
        <v>0</v>
      </c>
      <c r="L128" s="678">
        <f t="shared" si="43" ref="L128:L133">HLOOKUP(B128,$E$15:$O$114,72,FALSE)</f>
        <v>0</v>
      </c>
      <c r="M128" s="678">
        <f t="shared" si="40"/>
        <v>0</v>
      </c>
      <c r="N128" s="678">
        <f t="shared" si="41"/>
        <v>0</v>
      </c>
      <c r="O128" s="678">
        <f t="shared" si="42"/>
        <v>0</v>
      </c>
      <c r="P128" s="678">
        <f t="shared" si="31"/>
        <v>0</v>
      </c>
    </row>
    <row r="129" spans="2:16" ht="14.5">
      <c r="B129" s="495">
        <v>2016</v>
      </c>
      <c r="C129" s="676">
        <f t="shared" si="30"/>
        <v>0.010699999999999999</v>
      </c>
      <c r="D129" s="677">
        <f t="shared" si="32"/>
        <v>0.0094000000000000004</v>
      </c>
      <c r="E129" s="678">
        <f t="shared" si="33"/>
        <v>3.6461000000000001</v>
      </c>
      <c r="F129" s="677">
        <f t="shared" si="34"/>
        <v>3.2997000000000001</v>
      </c>
      <c r="G129" s="678">
        <f t="shared" si="35"/>
        <v>0.0050000000000000001</v>
      </c>
      <c r="H129" s="677">
        <f t="shared" si="36"/>
        <v>29.5989</v>
      </c>
      <c r="I129" s="678">
        <f t="shared" si="37"/>
        <v>11.0238</v>
      </c>
      <c r="J129" s="678">
        <f t="shared" si="38"/>
        <v>0</v>
      </c>
      <c r="K129" s="678">
        <f t="shared" si="39"/>
        <v>0</v>
      </c>
      <c r="L129" s="678">
        <f t="shared" si="43"/>
        <v>0</v>
      </c>
      <c r="M129" s="678">
        <f t="shared" si="40"/>
        <v>0</v>
      </c>
      <c r="N129" s="678">
        <f t="shared" si="41"/>
        <v>0</v>
      </c>
      <c r="O129" s="678">
        <f t="shared" si="42"/>
        <v>0</v>
      </c>
      <c r="P129" s="678">
        <f t="shared" si="31"/>
        <v>0</v>
      </c>
    </row>
    <row r="130" spans="2:16" ht="14.5">
      <c r="B130" s="495">
        <v>2017</v>
      </c>
      <c r="C130" s="676">
        <f>HLOOKUP(B130,$E$15:$O$114,9,FALSE)</f>
        <v>0.0079000000000000008</v>
      </c>
      <c r="D130" s="677">
        <f t="shared" si="32"/>
        <v>0.01</v>
      </c>
      <c r="E130" s="678">
        <f t="shared" si="33"/>
        <v>3.7886000000000002</v>
      </c>
      <c r="F130" s="677">
        <f t="shared" si="34"/>
        <v>3.4079999999999999</v>
      </c>
      <c r="G130" s="678">
        <f t="shared" si="35"/>
        <v>0.0053</v>
      </c>
      <c r="H130" s="677">
        <f t="shared" si="36"/>
        <v>35.258699999999997</v>
      </c>
      <c r="I130" s="678">
        <f t="shared" si="37"/>
        <v>1.5244</v>
      </c>
      <c r="J130" s="678">
        <f t="shared" si="38"/>
        <v>0</v>
      </c>
      <c r="K130" s="678">
        <f t="shared" si="39"/>
        <v>0</v>
      </c>
      <c r="L130" s="678">
        <f t="shared" si="43"/>
        <v>0</v>
      </c>
      <c r="M130" s="678">
        <f t="shared" si="40"/>
        <v>0</v>
      </c>
      <c r="N130" s="678">
        <f t="shared" si="41"/>
        <v>0</v>
      </c>
      <c r="O130" s="678">
        <f t="shared" si="42"/>
        <v>0</v>
      </c>
      <c r="P130" s="678">
        <f t="shared" si="31"/>
        <v>0</v>
      </c>
    </row>
    <row r="131" spans="2:16" ht="14.5">
      <c r="B131" s="495">
        <v>2018</v>
      </c>
      <c r="C131" s="676">
        <f t="shared" si="44" ref="C131:C133">HLOOKUP(B131,$E$15:$O$114,9,FALSE)</f>
        <v>0.0044999999999999997</v>
      </c>
      <c r="D131" s="677">
        <f t="shared" si="32"/>
        <v>0.010200000000000001</v>
      </c>
      <c r="E131" s="678">
        <f t="shared" si="33"/>
        <v>3.8428</v>
      </c>
      <c r="F131" s="677">
        <f t="shared" si="34"/>
        <v>3.4567999999999999</v>
      </c>
      <c r="G131" s="678">
        <f t="shared" si="35"/>
        <v>0.0054000000000000003</v>
      </c>
      <c r="H131" s="677">
        <f t="shared" si="36"/>
        <v>35.763100000000001</v>
      </c>
      <c r="I131" s="678">
        <f t="shared" si="37"/>
        <v>1.5462</v>
      </c>
      <c r="J131" s="678">
        <f t="shared" si="38"/>
        <v>0</v>
      </c>
      <c r="K131" s="678">
        <f t="shared" si="39"/>
        <v>0</v>
      </c>
      <c r="L131" s="678">
        <f t="shared" si="43"/>
        <v>0</v>
      </c>
      <c r="M131" s="678">
        <f t="shared" si="40"/>
        <v>0</v>
      </c>
      <c r="N131" s="678">
        <f t="shared" si="41"/>
        <v>0</v>
      </c>
      <c r="O131" s="678">
        <f t="shared" si="42"/>
        <v>0</v>
      </c>
      <c r="P131" s="678">
        <f t="shared" si="31"/>
        <v>0</v>
      </c>
    </row>
    <row r="132" spans="2:16" ht="14.5">
      <c r="B132" s="495">
        <v>2019</v>
      </c>
      <c r="C132" s="676">
        <f t="shared" si="44"/>
        <v>0.0011000000000000001</v>
      </c>
      <c r="D132" s="677">
        <f t="shared" si="32"/>
        <v>0.0103</v>
      </c>
      <c r="E132" s="678">
        <f t="shared" si="33"/>
        <v>3.8965999999999998</v>
      </c>
      <c r="F132" s="677">
        <f t="shared" si="34"/>
        <v>3.5051999999999999</v>
      </c>
      <c r="G132" s="678">
        <f t="shared" si="35"/>
        <v>0.0054999999999999997</v>
      </c>
      <c r="H132" s="677">
        <f t="shared" si="36"/>
        <v>36.264099999999999</v>
      </c>
      <c r="I132" s="678">
        <f t="shared" si="37"/>
        <v>1.5678000000000001</v>
      </c>
      <c r="J132" s="678">
        <f t="shared" si="38"/>
        <v>0</v>
      </c>
      <c r="K132" s="678">
        <f t="shared" si="39"/>
        <v>0</v>
      </c>
      <c r="L132" s="678">
        <f t="shared" si="43"/>
        <v>0</v>
      </c>
      <c r="M132" s="678">
        <f t="shared" si="40"/>
        <v>0</v>
      </c>
      <c r="N132" s="678">
        <f t="shared" si="41"/>
        <v>0</v>
      </c>
      <c r="O132" s="678">
        <f t="shared" si="42"/>
        <v>0</v>
      </c>
      <c r="P132" s="678">
        <f t="shared" si="31"/>
        <v>0</v>
      </c>
    </row>
    <row r="133" spans="2:16" ht="14.5" hidden="1">
      <c r="B133" s="496">
        <v>2020</v>
      </c>
      <c r="C133" s="679">
        <f t="shared" si="44"/>
        <v>0</v>
      </c>
      <c r="D133" s="680">
        <f t="shared" si="32"/>
        <v>0.010500000000000001</v>
      </c>
      <c r="E133" s="681">
        <f t="shared" si="33"/>
        <v>3.9681000000000002</v>
      </c>
      <c r="F133" s="680">
        <f t="shared" si="34"/>
        <v>3.5695999999999999</v>
      </c>
      <c r="G133" s="681">
        <f>HLOOKUP(B133,$E$15:$O$114,37,FALSE)</f>
        <v>0.0055999999999999999</v>
      </c>
      <c r="H133" s="680">
        <f t="shared" si="36"/>
        <v>36.929499999999997</v>
      </c>
      <c r="I133" s="681">
        <f t="shared" si="37"/>
        <v>1.5966</v>
      </c>
      <c r="J133" s="681">
        <f t="shared" si="38"/>
        <v>0</v>
      </c>
      <c r="K133" s="681">
        <f t="shared" si="39"/>
        <v>0</v>
      </c>
      <c r="L133" s="681">
        <f t="shared" si="43"/>
        <v>0</v>
      </c>
      <c r="M133" s="681">
        <f t="shared" si="40"/>
        <v>0</v>
      </c>
      <c r="N133" s="681">
        <f t="shared" si="41"/>
        <v>0</v>
      </c>
      <c r="O133" s="681">
        <f t="shared" si="42"/>
        <v>0</v>
      </c>
      <c r="P133" s="681">
        <f t="shared" si="31"/>
        <v>0</v>
      </c>
    </row>
    <row r="134" spans="2:16" ht="18.75" customHeight="1">
      <c r="B134" s="492" t="s">
        <v>629</v>
      </c>
      <c r="C134" s="591"/>
      <c r="D134" s="592"/>
      <c r="E134" s="593"/>
      <c r="F134" s="592"/>
      <c r="G134" s="592"/>
      <c r="H134" s="592"/>
      <c r="I134" s="592"/>
      <c r="J134" s="592"/>
      <c r="K134" s="592"/>
      <c r="L134" s="592"/>
      <c r="M134" s="592"/>
      <c r="N134" s="592"/>
      <c r="O134" s="592"/>
      <c r="P134" s="592"/>
    </row>
    <row r="136" spans="2:2" ht="14.5">
      <c r="B136" s="585" t="s">
        <v>525</v>
      </c>
    </row>
    <row r="157" spans="4:4" ht="14.5">
      <c r="D157" s="843"/>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orientation="landscape" paperSize="17" scale="46" r:id="rId2"/>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57"/>
  <sheetViews>
    <sheetView zoomScale="90" zoomScaleNormal="90" workbookViewId="0" topLeftCell="A121">
      <selection pane="topLeft" activeCell="D157" sqref="D157"/>
    </sheetView>
  </sheetViews>
  <sheetFormatPr defaultColWidth="9.00428571428571" defaultRowHeight="14.5"/>
  <cols>
    <col min="1" max="3" width="9" style="12"/>
    <col min="4" max="4" width="3.14285714285714" style="12" customWidth="1"/>
    <col min="5" max="9" width="14.8571428571429" style="12" customWidth="1"/>
    <col min="10" max="16384" width="9" style="12"/>
  </cols>
  <sheetData>
    <row r="14" spans="2:2" ht="15.5">
      <c r="B14" s="581" t="s">
        <v>504</v>
      </c>
    </row>
    <row r="15" spans="2:2" ht="15.5">
      <c r="B15" s="581"/>
    </row>
    <row r="16" spans="2:24" s="660" customFormat="1" ht="28.5" customHeight="1">
      <c r="B16" s="898" t="s">
        <v>632</v>
      </c>
      <c r="C16" s="898"/>
      <c r="D16" s="898"/>
      <c r="E16" s="898"/>
      <c r="F16" s="898"/>
      <c r="G16" s="898"/>
      <c r="H16" s="898"/>
      <c r="I16" s="898"/>
      <c r="J16" s="898"/>
      <c r="K16" s="898"/>
      <c r="L16" s="898"/>
      <c r="M16" s="898"/>
      <c r="N16" s="898"/>
      <c r="O16" s="898"/>
      <c r="P16" s="898"/>
      <c r="Q16" s="898"/>
      <c r="R16" s="898"/>
      <c r="S16" s="898"/>
      <c r="T16" s="898"/>
      <c r="U16" s="898"/>
      <c r="V16" s="898"/>
      <c r="W16" s="898"/>
      <c r="X16" s="898"/>
    </row>
    <row r="19" spans="2:5" ht="14.5">
      <c r="B19" s="12" t="s">
        <v>22</v>
      </c>
      <c r="E19" s="12" t="s">
        <v>790</v>
      </c>
    </row>
    <row r="20" spans="3:9" ht="14.5">
      <c r="C20" s="745" t="s">
        <v>234</v>
      </c>
      <c r="D20" s="745"/>
      <c r="E20" s="745" t="s">
        <v>26</v>
      </c>
      <c r="F20" s="745" t="s">
        <v>791</v>
      </c>
      <c r="G20" s="745" t="s">
        <v>792</v>
      </c>
      <c r="H20" s="745" t="s">
        <v>793</v>
      </c>
      <c r="I20" s="745" t="s">
        <v>794</v>
      </c>
    </row>
    <row r="21" spans="3:9" ht="14.5">
      <c r="C21" s="745">
        <v>2011</v>
      </c>
      <c r="D21" s="745"/>
      <c r="E21" s="746">
        <v>417327.10000000003</v>
      </c>
      <c r="F21" s="746">
        <v>123681.60000000001</v>
      </c>
      <c r="G21" s="746">
        <v>293645.5</v>
      </c>
      <c r="H21" s="746">
        <v>0</v>
      </c>
      <c r="I21" s="746">
        <v>0</v>
      </c>
    </row>
    <row r="22" spans="3:9" ht="14.5">
      <c r="C22" s="745">
        <v>2012</v>
      </c>
      <c r="D22" s="745"/>
      <c r="E22" s="746">
        <v>1375694.8999999999</v>
      </c>
      <c r="F22" s="746">
        <v>173968.30000000002</v>
      </c>
      <c r="G22" s="746">
        <v>464151.20000000001</v>
      </c>
      <c r="H22" s="746">
        <v>737575.39999999991</v>
      </c>
      <c r="I22" s="746">
        <v>0</v>
      </c>
    </row>
    <row r="23" spans="3:9" ht="14.5">
      <c r="C23" s="745">
        <v>2013</v>
      </c>
      <c r="D23" s="745"/>
      <c r="E23" s="746">
        <v>380402.50000000006</v>
      </c>
      <c r="F23" s="746">
        <v>174097.40000000002</v>
      </c>
      <c r="G23" s="746">
        <v>142325.89999999999</v>
      </c>
      <c r="H23" s="746">
        <v>63979.200000000004</v>
      </c>
      <c r="I23" s="746">
        <v>0</v>
      </c>
    </row>
    <row r="24" spans="3:9" ht="14.5">
      <c r="C24" s="745">
        <v>2014</v>
      </c>
      <c r="D24" s="745"/>
      <c r="E24" s="746">
        <v>1124514.5</v>
      </c>
      <c r="F24" s="746">
        <v>289527.39999999997</v>
      </c>
      <c r="G24" s="746">
        <v>742007.09999999998</v>
      </c>
      <c r="H24" s="746">
        <v>92980</v>
      </c>
      <c r="I24" s="746">
        <v>0</v>
      </c>
    </row>
    <row r="25" spans="3:9" ht="14.5">
      <c r="C25" s="745">
        <v>2015</v>
      </c>
      <c r="D25" s="745"/>
      <c r="E25" s="746">
        <v>5176014.4000000004</v>
      </c>
      <c r="F25" s="746">
        <v>660047.20000000007</v>
      </c>
      <c r="G25" s="746">
        <v>1200170.3000000001</v>
      </c>
      <c r="H25" s="746">
        <v>3315796.8999999999</v>
      </c>
      <c r="I25" s="746">
        <v>0</v>
      </c>
    </row>
    <row r="26" spans="3:9" ht="14.5">
      <c r="C26" s="745">
        <v>2016</v>
      </c>
      <c r="D26" s="745"/>
      <c r="E26" s="746">
        <v>4407530.5</v>
      </c>
      <c r="F26" s="746">
        <v>272266.09999999998</v>
      </c>
      <c r="G26" s="746">
        <v>314134.30000000005</v>
      </c>
      <c r="H26" s="746">
        <v>1578337.1000000001</v>
      </c>
      <c r="I26" s="746">
        <v>2242793</v>
      </c>
    </row>
    <row r="27" spans="3:9" ht="14.5">
      <c r="C27" s="745">
        <v>2017</v>
      </c>
      <c r="D27" s="745"/>
      <c r="E27" s="746">
        <v>2397345</v>
      </c>
      <c r="F27" s="746">
        <v>906490</v>
      </c>
      <c r="G27" s="746">
        <v>865770.30000000005</v>
      </c>
      <c r="H27" s="746">
        <v>625084.69999999995</v>
      </c>
      <c r="I27" s="746">
        <v>0</v>
      </c>
    </row>
    <row r="28" spans="3:9" ht="14.5">
      <c r="C28" s="745">
        <v>2018</v>
      </c>
      <c r="D28" s="745"/>
      <c r="E28" s="746">
        <v>1644868.0999999999</v>
      </c>
      <c r="F28" s="746">
        <v>297939.19999999995</v>
      </c>
      <c r="G28" s="746">
        <v>737930.19999999995</v>
      </c>
      <c r="H28" s="746">
        <v>580382.69999999995</v>
      </c>
      <c r="I28" s="746">
        <v>28616</v>
      </c>
    </row>
    <row r="30" spans="3:9" ht="14.5">
      <c r="C30" s="745" t="s">
        <v>234</v>
      </c>
      <c r="D30" s="745"/>
      <c r="E30" s="745" t="s">
        <v>26</v>
      </c>
      <c r="F30" s="745" t="s">
        <v>791</v>
      </c>
      <c r="G30" s="745" t="s">
        <v>792</v>
      </c>
      <c r="H30" s="745" t="s">
        <v>793</v>
      </c>
      <c r="I30" s="745" t="s">
        <v>794</v>
      </c>
    </row>
    <row r="31" spans="3:9" ht="14.5">
      <c r="C31" s="747">
        <f>C21</f>
        <v>2011</v>
      </c>
      <c r="D31" s="745"/>
      <c r="E31" s="746"/>
      <c r="F31" s="748">
        <f>F21/$E21</f>
        <v>0.29636608789604124</v>
      </c>
      <c r="G31" s="748">
        <f t="shared" si="0" ref="G31:I31">G21/$E21</f>
        <v>0.70363391210395865</v>
      </c>
      <c r="H31" s="748">
        <f t="shared" si="0"/>
        <v>0</v>
      </c>
      <c r="I31" s="748">
        <f t="shared" si="0"/>
        <v>0</v>
      </c>
    </row>
    <row r="32" spans="3:9" ht="14.5">
      <c r="C32" s="747">
        <f t="shared" si="1" ref="C32:C38">C22</f>
        <v>2012</v>
      </c>
      <c r="D32" s="745"/>
      <c r="E32" s="745"/>
      <c r="F32" s="748">
        <f t="shared" si="2" ref="F32:I38">F22/$E22</f>
        <v>0.12645849017830918</v>
      </c>
      <c r="G32" s="748">
        <f t="shared" si="2"/>
        <v>0.33739399629961558</v>
      </c>
      <c r="H32" s="748">
        <f t="shared" si="2"/>
        <v>0.53614751352207524</v>
      </c>
      <c r="I32" s="748">
        <f t="shared" si="2"/>
        <v>0</v>
      </c>
    </row>
    <row r="33" spans="3:9" ht="14.5">
      <c r="C33" s="747">
        <f t="shared" si="1"/>
        <v>2013</v>
      </c>
      <c r="D33" s="745"/>
      <c r="E33" s="745"/>
      <c r="F33" s="748">
        <f t="shared" si="2"/>
        <v>0.45766628768212614</v>
      </c>
      <c r="G33" s="748">
        <f t="shared" si="2"/>
        <v>0.37414554320752352</v>
      </c>
      <c r="H33" s="748">
        <f t="shared" si="2"/>
        <v>0.1681881691103502</v>
      </c>
      <c r="I33" s="748">
        <f t="shared" si="2"/>
        <v>0</v>
      </c>
    </row>
    <row r="34" spans="3:9" ht="14.5">
      <c r="C34" s="747">
        <f t="shared" si="1"/>
        <v>2014</v>
      </c>
      <c r="D34" s="745"/>
      <c r="E34" s="745"/>
      <c r="F34" s="748">
        <f t="shared" si="2"/>
        <v>0.25746880098033414</v>
      </c>
      <c r="G34" s="748">
        <f t="shared" si="2"/>
        <v>0.65984662714442543</v>
      </c>
      <c r="H34" s="748">
        <f t="shared" si="2"/>
        <v>0.082684571875240379</v>
      </c>
      <c r="I34" s="748">
        <f t="shared" si="2"/>
        <v>0</v>
      </c>
    </row>
    <row r="35" spans="3:9" ht="14.5">
      <c r="C35" s="747">
        <f t="shared" si="1"/>
        <v>2015</v>
      </c>
      <c r="D35" s="745"/>
      <c r="E35" s="749"/>
      <c r="F35" s="748">
        <f t="shared" si="2"/>
        <v>0.12752035620302757</v>
      </c>
      <c r="G35" s="748">
        <f t="shared" si="2"/>
        <v>0.23187151488604824</v>
      </c>
      <c r="H35" s="748">
        <f t="shared" si="2"/>
        <v>0.64060812891092411</v>
      </c>
      <c r="I35" s="748">
        <f t="shared" si="2"/>
        <v>0</v>
      </c>
    </row>
    <row r="36" spans="3:9" ht="14.5">
      <c r="C36" s="747">
        <f t="shared" si="1"/>
        <v>2016</v>
      </c>
      <c r="D36" s="745"/>
      <c r="E36" s="749"/>
      <c r="F36" s="748">
        <f t="shared" si="2"/>
        <v>0.061772936114679176</v>
      </c>
      <c r="G36" s="748">
        <f t="shared" si="2"/>
        <v>0.07127217837743835</v>
      </c>
      <c r="H36" s="748">
        <f t="shared" si="2"/>
        <v>0.35810009709518748</v>
      </c>
      <c r="I36" s="748">
        <f t="shared" si="2"/>
        <v>0.50885478841269505</v>
      </c>
    </row>
    <row r="37" spans="3:9" ht="14.5">
      <c r="C37" s="747">
        <f t="shared" si="1"/>
        <v>2017</v>
      </c>
      <c r="D37" s="745"/>
      <c r="E37" s="745"/>
      <c r="F37" s="748">
        <f t="shared" si="2"/>
        <v>0.37812246464317817</v>
      </c>
      <c r="G37" s="748">
        <f t="shared" si="2"/>
        <v>0.36113713295332966</v>
      </c>
      <c r="H37" s="748">
        <f t="shared" si="2"/>
        <v>0.26074040240349217</v>
      </c>
      <c r="I37" s="748">
        <f t="shared" si="2"/>
        <v>0</v>
      </c>
    </row>
    <row r="38" spans="3:9" ht="14.5">
      <c r="C38" s="747">
        <f t="shared" si="1"/>
        <v>2018</v>
      </c>
      <c r="D38" s="745"/>
      <c r="E38" s="745"/>
      <c r="F38" s="748">
        <f t="shared" si="2"/>
        <v>0.18113257835081123</v>
      </c>
      <c r="G38" s="748">
        <f t="shared" si="2"/>
        <v>0.44862575911101932</v>
      </c>
      <c r="H38" s="748">
        <f t="shared" si="2"/>
        <v>0.35284452291341778</v>
      </c>
      <c r="I38" s="748">
        <f t="shared" si="2"/>
        <v>0.017397139624751676</v>
      </c>
    </row>
    <row r="157" spans="4:4" ht="14.5">
      <c r="D157" s="840"/>
    </row>
  </sheetData>
  <mergeCells count="1">
    <mergeCell ref="B16:X16"/>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15</vt:i4>
      </vt:variant>
    </vt:vector>
  </HeadingPairs>
  <TitlesOfParts>
    <vt:vector size="15"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Streetlight Details</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2017-05-24T00:43:43Z</cp:lastPrinted>
  <dcterms:created xsi:type="dcterms:W3CDTF">2012-03-05T18:56:04Z</dcterms:created>
  <dcterms:modified xsi:type="dcterms:W3CDTF">2021-02-01T21:46:59Z</dcterms:modified>
  <cp:category/>
</cp:coreProperties>
</file>