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24226"/>
  <bookViews>
    <workbookView xWindow="0" yWindow="0" windowWidth="23040" windowHeight="8916" tabRatio="831"/>
  </bookViews>
  <sheets>
    <sheet name="Summary" sheetId="11" r:id="rId1"/>
    <sheet name="Power Purchases" sheetId="26" r:id="rId2"/>
    <sheet name="Purchased Power Model" sheetId="33" r:id="rId3"/>
    <sheet name="Regression1" sheetId="34" r:id="rId4"/>
    <sheet name="Regression2" sheetId="35" r:id="rId5"/>
    <sheet name="Rate Class Energy Model" sheetId="9" r:id="rId6"/>
    <sheet name="Rate Class Customer Model" sheetId="17" r:id="rId7"/>
    <sheet name="Rate Class Load Model" sheetId="18" r:id="rId8"/>
    <sheet name="Residential" sheetId="20" state="hidden" r:id="rId9"/>
    <sheet name="GS &lt; 50 kW" sheetId="21" state="hidden" r:id="rId10"/>
    <sheet name="GS &gt; 50 kW" sheetId="22" state="hidden" r:id="rId11"/>
    <sheet name="CDM" sheetId="23" r:id="rId12"/>
    <sheet name="HDD CDD" sheetId="25" r:id="rId13"/>
    <sheet name="WMP" sheetId="27" r:id="rId14"/>
    <sheet name="Tables" sheetId="32" state="hidden" r:id="rId15"/>
  </sheets>
  <externalReferences>
    <externalReference r:id="rId16"/>
    <externalReference r:id="rId17"/>
    <externalReference r:id="rId18"/>
    <externalReference r:id="rId19"/>
    <externalReference r:id="rId20"/>
    <externalReference r:id="rId21"/>
  </externalReferences>
  <definedNames>
    <definedName name="_Order1" hidden="1">255</definedName>
    <definedName name="_Sort" hidden="1">[1]Sheet1!$G$40:$K$40</definedName>
    <definedName name="PAGE11" localSheetId="2">#REF!</definedName>
    <definedName name="PAGE11">#REF!</definedName>
    <definedName name="PAGE2">[1]Sheet1!$A$1:$I$40</definedName>
    <definedName name="PAGE3" localSheetId="2">#REF!</definedName>
    <definedName name="PAGE3">#REF!</definedName>
    <definedName name="PAGE4" localSheetId="2">#REF!</definedName>
    <definedName name="PAGE4">#REF!</definedName>
    <definedName name="PAGE7" localSheetId="2">#REF!</definedName>
    <definedName name="PAGE7">#REF!</definedName>
    <definedName name="PAGE9" localSheetId="2">#REF!</definedName>
    <definedName name="PAGE9">#REF!</definedName>
    <definedName name="_xlnm.Print_Area" localSheetId="11">CDM!$A$1:$AA$218</definedName>
    <definedName name="_xlnm.Print_Area" localSheetId="9">'GS &lt; 50 kW'!$M$63:$Q$86</definedName>
    <definedName name="_xlnm.Print_Area" localSheetId="10">'GS &gt; 50 kW'!$M$63:$Q$86</definedName>
    <definedName name="_xlnm.Print_Area" localSheetId="1">'Power Purchases'!$A$1:$G$209</definedName>
    <definedName name="_xlnm.Print_Area" localSheetId="2">'Purchased Power Model'!$A$1:$AD$180</definedName>
    <definedName name="_xlnm.Print_Area" localSheetId="6">'Rate Class Customer Model'!$A$1:$I$32</definedName>
    <definedName name="_xlnm.Print_Area" localSheetId="5">'Rate Class Energy Model'!$A$1:$R$56</definedName>
    <definedName name="_xlnm.Print_Area" localSheetId="8">Residential!$M$63:$Q$86</definedName>
    <definedName name="_xlnm.Print_Titles" localSheetId="12">'HDD CDD'!$1:$1</definedName>
    <definedName name="_xlnm.Print_Titles" localSheetId="1">'Power Purchases'!$2:$2</definedName>
    <definedName name="_xlnm.Print_Titles" localSheetId="2">'Purchased Power Model'!$2:$2</definedName>
    <definedName name="_xlnm.Print_Titles" localSheetId="13">WMP!$1:$1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53" i="11" l="1"/>
  <c r="C36" i="18" l="1"/>
  <c r="K53" i="9"/>
  <c r="I33" i="9" l="1"/>
  <c r="H33" i="9"/>
  <c r="H22" i="9"/>
  <c r="H27" i="9" s="1"/>
  <c r="H35" i="9" s="1"/>
  <c r="H23" i="25" l="1"/>
  <c r="K15" i="26"/>
  <c r="K18" i="26"/>
  <c r="J14" i="26"/>
  <c r="K14" i="26" s="1"/>
  <c r="J15" i="26"/>
  <c r="J16" i="26"/>
  <c r="K16" i="26" s="1"/>
  <c r="J17" i="26"/>
  <c r="K17" i="26" s="1"/>
  <c r="J18" i="26"/>
  <c r="J13" i="26"/>
  <c r="K13" i="26" s="1"/>
  <c r="I13" i="26"/>
  <c r="F13" i="17"/>
  <c r="F28" i="17"/>
  <c r="L22" i="9"/>
  <c r="L26" i="9" s="1"/>
  <c r="I14" i="26"/>
  <c r="I15" i="26"/>
  <c r="I16" i="26"/>
  <c r="I17" i="26"/>
  <c r="I18" i="26"/>
  <c r="I19" i="26"/>
  <c r="I20" i="26"/>
  <c r="I21" i="26"/>
  <c r="I22" i="26"/>
  <c r="I23" i="26"/>
  <c r="I24" i="26"/>
  <c r="I25" i="26"/>
  <c r="I26" i="26"/>
  <c r="I27" i="26"/>
  <c r="I28" i="26"/>
  <c r="I29" i="26"/>
  <c r="I30" i="26"/>
  <c r="I31" i="26"/>
  <c r="B4" i="26"/>
  <c r="B5" i="26"/>
  <c r="B6" i="26"/>
  <c r="B7" i="26"/>
  <c r="B8" i="26"/>
  <c r="B9" i="26"/>
  <c r="B10" i="26"/>
  <c r="B11" i="26"/>
  <c r="B12" i="26"/>
  <c r="B13" i="26"/>
  <c r="B14" i="26"/>
  <c r="B15" i="26"/>
  <c r="B16" i="26"/>
  <c r="B17" i="26"/>
  <c r="B18" i="26"/>
  <c r="B19" i="26"/>
  <c r="B20" i="26"/>
  <c r="B21" i="26"/>
  <c r="B22" i="26"/>
  <c r="B23" i="26"/>
  <c r="B24" i="26"/>
  <c r="B25" i="26"/>
  <c r="B26" i="26"/>
  <c r="B27" i="26"/>
  <c r="B28" i="26"/>
  <c r="B29" i="26"/>
  <c r="B30" i="26"/>
  <c r="B31" i="26"/>
  <c r="B32" i="26"/>
  <c r="B33" i="26"/>
  <c r="B34" i="26"/>
  <c r="B35" i="26"/>
  <c r="B36" i="26"/>
  <c r="B37" i="26"/>
  <c r="B38" i="26"/>
  <c r="B39" i="26"/>
  <c r="B40" i="26"/>
  <c r="B41" i="26"/>
  <c r="B42" i="26"/>
  <c r="B43" i="26"/>
  <c r="B44" i="26"/>
  <c r="B45" i="26"/>
  <c r="B46" i="26"/>
  <c r="B47" i="26"/>
  <c r="B48" i="26"/>
  <c r="B49" i="26"/>
  <c r="B50" i="26"/>
  <c r="B51" i="26"/>
  <c r="B52" i="26"/>
  <c r="B53" i="26"/>
  <c r="B54" i="26"/>
  <c r="B55" i="26"/>
  <c r="B56" i="26"/>
  <c r="B57" i="26"/>
  <c r="B58" i="26"/>
  <c r="B59" i="26"/>
  <c r="B60" i="26"/>
  <c r="B61" i="26"/>
  <c r="B62" i="26"/>
  <c r="B63" i="26"/>
  <c r="B64" i="26"/>
  <c r="B65" i="26"/>
  <c r="B66" i="26"/>
  <c r="B67" i="26"/>
  <c r="B68" i="26"/>
  <c r="B69" i="26"/>
  <c r="B70" i="26"/>
  <c r="B71" i="26"/>
  <c r="B72" i="26"/>
  <c r="B73" i="26"/>
  <c r="B74" i="26"/>
  <c r="B75" i="26"/>
  <c r="B76" i="26"/>
  <c r="B77" i="26"/>
  <c r="B78" i="26"/>
  <c r="B79" i="26"/>
  <c r="B80" i="26"/>
  <c r="B81" i="26"/>
  <c r="B82" i="26"/>
  <c r="B83" i="26"/>
  <c r="B84" i="26"/>
  <c r="B85" i="26"/>
  <c r="B86" i="26"/>
  <c r="B87" i="26"/>
  <c r="B88" i="26"/>
  <c r="B89" i="26"/>
  <c r="B90" i="26"/>
  <c r="B91" i="26"/>
  <c r="B92" i="26"/>
  <c r="B93" i="26"/>
  <c r="B94" i="26"/>
  <c r="B95" i="26"/>
  <c r="B96" i="26"/>
  <c r="B97" i="26"/>
  <c r="B98" i="26"/>
  <c r="B99" i="26"/>
  <c r="B100" i="26"/>
  <c r="B101" i="26"/>
  <c r="B102" i="26"/>
  <c r="B103" i="26"/>
  <c r="B104" i="26"/>
  <c r="B105" i="26"/>
  <c r="B106" i="26"/>
  <c r="B107" i="26"/>
  <c r="B108" i="26"/>
  <c r="B109" i="26"/>
  <c r="B110" i="26"/>
  <c r="B111" i="26"/>
  <c r="B112" i="26"/>
  <c r="B113" i="26"/>
  <c r="B114" i="26"/>
  <c r="B115" i="26"/>
  <c r="B116" i="26"/>
  <c r="B117" i="26"/>
  <c r="B118" i="26"/>
  <c r="B119" i="26"/>
  <c r="B120" i="26"/>
  <c r="B121" i="26"/>
  <c r="B122" i="26"/>
  <c r="B123" i="26"/>
  <c r="B124" i="26"/>
  <c r="B125" i="26"/>
  <c r="B126" i="26"/>
  <c r="B127" i="26"/>
  <c r="B128" i="26"/>
  <c r="B129" i="26"/>
  <c r="B130" i="26"/>
  <c r="B131" i="26"/>
  <c r="B132" i="26"/>
  <c r="B133" i="26"/>
  <c r="B134" i="26"/>
  <c r="B135" i="26"/>
  <c r="B136" i="26"/>
  <c r="B137" i="26"/>
  <c r="B138" i="26"/>
  <c r="B139" i="26"/>
  <c r="B140" i="26"/>
  <c r="B141" i="26"/>
  <c r="B142" i="26"/>
  <c r="B143" i="26"/>
  <c r="B144" i="26"/>
  <c r="B145" i="26"/>
  <c r="B146" i="26"/>
  <c r="B147" i="26"/>
  <c r="B148" i="26"/>
  <c r="B149" i="26"/>
  <c r="B150" i="26"/>
  <c r="B151" i="26"/>
  <c r="B152" i="26"/>
  <c r="B153" i="26"/>
  <c r="B154" i="26"/>
  <c r="B155" i="26"/>
  <c r="B156" i="26"/>
  <c r="B157" i="26"/>
  <c r="B158" i="26"/>
  <c r="B159" i="26"/>
  <c r="B160" i="26"/>
  <c r="B161" i="26"/>
  <c r="B162" i="26"/>
  <c r="B163" i="26"/>
  <c r="B164" i="26"/>
  <c r="B165" i="26"/>
  <c r="B166" i="26"/>
  <c r="B167" i="26"/>
  <c r="B168" i="26"/>
  <c r="B169" i="26"/>
  <c r="B170" i="26"/>
  <c r="B171" i="26"/>
  <c r="B172" i="26"/>
  <c r="B173" i="26"/>
  <c r="B174" i="26"/>
  <c r="B175" i="26"/>
  <c r="B176" i="26"/>
  <c r="B177" i="26"/>
  <c r="B178" i="26"/>
  <c r="B179" i="26"/>
  <c r="B180" i="26"/>
  <c r="B181" i="26"/>
  <c r="B182" i="26"/>
  <c r="B183" i="26"/>
  <c r="B184" i="26"/>
  <c r="B185" i="26"/>
  <c r="B186" i="26"/>
  <c r="B187" i="26"/>
  <c r="B188" i="26"/>
  <c r="B189" i="26"/>
  <c r="B190" i="26"/>
  <c r="B191" i="26"/>
  <c r="B192" i="26"/>
  <c r="B193" i="26"/>
  <c r="B194" i="26"/>
  <c r="B195" i="26"/>
  <c r="B196" i="26"/>
  <c r="B197" i="26"/>
  <c r="B198" i="26"/>
  <c r="B199" i="26"/>
  <c r="B200" i="26"/>
  <c r="B201" i="26"/>
  <c r="B202" i="26"/>
  <c r="B203" i="26"/>
  <c r="B204" i="26"/>
  <c r="B205" i="26"/>
  <c r="B206" i="26"/>
  <c r="B3" i="26"/>
  <c r="H26" i="9"/>
  <c r="H34" i="9" s="1"/>
  <c r="M150" i="33" l="1"/>
  <c r="M151" i="33"/>
  <c r="M152" i="33"/>
  <c r="M153" i="33"/>
  <c r="M154" i="33"/>
  <c r="M155" i="33"/>
  <c r="M156" i="33"/>
  <c r="M157" i="33"/>
  <c r="M158" i="33"/>
  <c r="M159" i="33"/>
  <c r="M160" i="33"/>
  <c r="M149" i="33"/>
  <c r="B4" i="33"/>
  <c r="B5" i="33"/>
  <c r="B6" i="33"/>
  <c r="B7" i="33"/>
  <c r="B8" i="33"/>
  <c r="B9" i="33"/>
  <c r="B10" i="33"/>
  <c r="B11" i="33"/>
  <c r="B12" i="33"/>
  <c r="B13" i="33"/>
  <c r="B14" i="33"/>
  <c r="B15" i="33"/>
  <c r="B16" i="33"/>
  <c r="B17" i="33"/>
  <c r="B18" i="33"/>
  <c r="B19" i="33"/>
  <c r="B20" i="33"/>
  <c r="B21" i="33"/>
  <c r="B22" i="33"/>
  <c r="B23" i="33"/>
  <c r="B24" i="33"/>
  <c r="B25" i="33"/>
  <c r="B26" i="33"/>
  <c r="B27" i="33"/>
  <c r="B28" i="33"/>
  <c r="B29" i="33"/>
  <c r="B30" i="33"/>
  <c r="B31" i="33"/>
  <c r="B32" i="33"/>
  <c r="B33" i="33"/>
  <c r="B34" i="33"/>
  <c r="B35" i="33"/>
  <c r="B36" i="33"/>
  <c r="B37" i="33"/>
  <c r="B38" i="33"/>
  <c r="B39" i="33"/>
  <c r="B40" i="33"/>
  <c r="B41" i="33"/>
  <c r="B42" i="33"/>
  <c r="B43" i="33"/>
  <c r="B44" i="33"/>
  <c r="B45" i="33"/>
  <c r="B46" i="33"/>
  <c r="B47" i="33"/>
  <c r="B48" i="33"/>
  <c r="B49" i="33"/>
  <c r="B50" i="33"/>
  <c r="B51" i="33"/>
  <c r="B52" i="33"/>
  <c r="B53" i="33"/>
  <c r="B54" i="33"/>
  <c r="B55" i="33"/>
  <c r="B56" i="33"/>
  <c r="B57" i="33"/>
  <c r="B58" i="33"/>
  <c r="B59" i="33"/>
  <c r="B60" i="33"/>
  <c r="B61" i="33"/>
  <c r="B62" i="33"/>
  <c r="B63" i="33"/>
  <c r="B64" i="33"/>
  <c r="B65" i="33"/>
  <c r="B66" i="33"/>
  <c r="B67" i="33"/>
  <c r="B68" i="33"/>
  <c r="B69" i="33"/>
  <c r="B70" i="33"/>
  <c r="B71" i="33"/>
  <c r="B72" i="33"/>
  <c r="B73" i="33"/>
  <c r="B74" i="33"/>
  <c r="B75" i="33"/>
  <c r="B76" i="33"/>
  <c r="B77" i="33"/>
  <c r="B78" i="33"/>
  <c r="B79" i="33"/>
  <c r="B80" i="33"/>
  <c r="B81" i="33"/>
  <c r="B82" i="33"/>
  <c r="B83" i="33"/>
  <c r="B84" i="33"/>
  <c r="B85" i="33"/>
  <c r="B86" i="33"/>
  <c r="B87" i="33"/>
  <c r="B88" i="33"/>
  <c r="B89" i="33"/>
  <c r="B90" i="33"/>
  <c r="B91" i="33"/>
  <c r="B92" i="33"/>
  <c r="B93" i="33"/>
  <c r="B94" i="33"/>
  <c r="B95" i="33"/>
  <c r="B96" i="33"/>
  <c r="B97" i="33"/>
  <c r="B98" i="33"/>
  <c r="B99" i="33"/>
  <c r="B100" i="33"/>
  <c r="B101" i="33"/>
  <c r="B102" i="33"/>
  <c r="B103" i="33"/>
  <c r="B104" i="33"/>
  <c r="B105" i="33"/>
  <c r="B106" i="33"/>
  <c r="B107" i="33"/>
  <c r="B108" i="33"/>
  <c r="B109" i="33"/>
  <c r="B110" i="33"/>
  <c r="B111" i="33"/>
  <c r="B112" i="33"/>
  <c r="B113" i="33"/>
  <c r="B114" i="33"/>
  <c r="B115" i="33"/>
  <c r="B116" i="33"/>
  <c r="B117" i="33"/>
  <c r="B118" i="33"/>
  <c r="B119" i="33"/>
  <c r="B120" i="33"/>
  <c r="B121" i="33"/>
  <c r="B122" i="33"/>
  <c r="B123" i="33"/>
  <c r="B124" i="33"/>
  <c r="B125" i="33"/>
  <c r="B126" i="33"/>
  <c r="B127" i="33"/>
  <c r="B128" i="33"/>
  <c r="B129" i="33"/>
  <c r="B130" i="33"/>
  <c r="B131" i="33"/>
  <c r="B132" i="33"/>
  <c r="B133" i="33"/>
  <c r="B134" i="33"/>
  <c r="B135" i="33"/>
  <c r="B136" i="33"/>
  <c r="B137" i="33"/>
  <c r="B138" i="33"/>
  <c r="B139" i="33"/>
  <c r="B140" i="33"/>
  <c r="B141" i="33"/>
  <c r="B142" i="33"/>
  <c r="B143" i="33"/>
  <c r="B144" i="33"/>
  <c r="B145" i="33"/>
  <c r="B146" i="33"/>
  <c r="B3" i="33"/>
  <c r="M164" i="33" l="1"/>
  <c r="B39" i="18"/>
  <c r="B33" i="18" s="1"/>
  <c r="J56" i="9"/>
  <c r="J50" i="9" s="1"/>
  <c r="K56" i="9"/>
  <c r="K50" i="9" s="1"/>
  <c r="C39" i="18" l="1"/>
  <c r="C33" i="18" s="1"/>
  <c r="D13" i="17" l="1"/>
  <c r="L23" i="11" s="1"/>
  <c r="B34" i="18" l="1"/>
  <c r="J51" i="9"/>
  <c r="C34" i="18" l="1"/>
  <c r="K51" i="9" l="1"/>
  <c r="O51" i="9" s="1"/>
  <c r="O50" i="9" l="1"/>
  <c r="G172" i="33" l="1"/>
  <c r="F175" i="33"/>
  <c r="S47" i="25"/>
  <c r="G180" i="33" s="1"/>
  <c r="I47" i="25"/>
  <c r="G170" i="33" s="1"/>
  <c r="J47" i="25"/>
  <c r="G171" i="33" s="1"/>
  <c r="L47" i="25"/>
  <c r="G173" i="33" s="1"/>
  <c r="M47" i="25"/>
  <c r="G174" i="33" s="1"/>
  <c r="N47" i="25"/>
  <c r="G175" i="33" s="1"/>
  <c r="O47" i="25"/>
  <c r="G176" i="33" s="1"/>
  <c r="P47" i="25"/>
  <c r="G177" i="33" s="1"/>
  <c r="Q47" i="25"/>
  <c r="G178" i="33" s="1"/>
  <c r="R47" i="25"/>
  <c r="G179" i="33" s="1"/>
  <c r="H47" i="25"/>
  <c r="G169" i="33" s="1"/>
  <c r="I169" i="33"/>
  <c r="J169" i="33"/>
  <c r="K169" i="33"/>
  <c r="L169" i="33"/>
  <c r="I170" i="33"/>
  <c r="J170" i="33"/>
  <c r="K170" i="33"/>
  <c r="L170" i="33"/>
  <c r="I171" i="33"/>
  <c r="J171" i="33"/>
  <c r="K171" i="33"/>
  <c r="L171" i="33"/>
  <c r="I172" i="33"/>
  <c r="J172" i="33"/>
  <c r="K172" i="33"/>
  <c r="L172" i="33"/>
  <c r="I173" i="33"/>
  <c r="J173" i="33"/>
  <c r="K173" i="33"/>
  <c r="L173" i="33"/>
  <c r="I174" i="33"/>
  <c r="J174" i="33"/>
  <c r="K174" i="33"/>
  <c r="L174" i="33"/>
  <c r="I175" i="33"/>
  <c r="J175" i="33"/>
  <c r="K175" i="33"/>
  <c r="L175" i="33"/>
  <c r="I176" i="33"/>
  <c r="J176" i="33"/>
  <c r="K176" i="33"/>
  <c r="L176" i="33"/>
  <c r="I177" i="33"/>
  <c r="J177" i="33"/>
  <c r="K177" i="33"/>
  <c r="L177" i="33"/>
  <c r="I178" i="33"/>
  <c r="J178" i="33"/>
  <c r="K178" i="33"/>
  <c r="L178" i="33"/>
  <c r="I179" i="33"/>
  <c r="J179" i="33"/>
  <c r="K179" i="33"/>
  <c r="L179" i="33"/>
  <c r="I180" i="33"/>
  <c r="J180" i="33"/>
  <c r="K180" i="33"/>
  <c r="L180" i="33"/>
  <c r="H170" i="33"/>
  <c r="H171" i="33"/>
  <c r="H172" i="33"/>
  <c r="H173" i="33"/>
  <c r="H174" i="33"/>
  <c r="H175" i="33"/>
  <c r="H176" i="33"/>
  <c r="H177" i="33"/>
  <c r="H178" i="33"/>
  <c r="H179" i="33"/>
  <c r="H180" i="33"/>
  <c r="H169" i="33"/>
  <c r="I23" i="25" l="1"/>
  <c r="F170" i="33" s="1"/>
  <c r="J23" i="25"/>
  <c r="F171" i="33" s="1"/>
  <c r="K23" i="25"/>
  <c r="F172" i="33" s="1"/>
  <c r="L23" i="25"/>
  <c r="F173" i="33" s="1"/>
  <c r="M23" i="25"/>
  <c r="F174" i="33" s="1"/>
  <c r="O23" i="25"/>
  <c r="F176" i="33" s="1"/>
  <c r="P23" i="25"/>
  <c r="F177" i="33" s="1"/>
  <c r="Q23" i="25"/>
  <c r="F178" i="33" s="1"/>
  <c r="R23" i="25"/>
  <c r="F179" i="33" s="1"/>
  <c r="S23" i="25"/>
  <c r="F180" i="33" s="1"/>
  <c r="F169" i="33"/>
  <c r="K44" i="11"/>
  <c r="J44" i="11"/>
  <c r="I44" i="11"/>
  <c r="H44" i="11"/>
  <c r="G44" i="11"/>
  <c r="K43" i="11"/>
  <c r="J43" i="11"/>
  <c r="I43" i="11"/>
  <c r="H43" i="11"/>
  <c r="J40" i="11"/>
  <c r="K40" i="11"/>
  <c r="I40" i="11"/>
  <c r="K39" i="11"/>
  <c r="J39" i="11"/>
  <c r="I39" i="11"/>
  <c r="H39" i="11"/>
  <c r="G39" i="11"/>
  <c r="J38" i="11"/>
  <c r="K38" i="11"/>
  <c r="I38" i="11"/>
  <c r="H38" i="11"/>
  <c r="K35" i="11"/>
  <c r="I35" i="11"/>
  <c r="J35" i="11"/>
  <c r="J34" i="11"/>
  <c r="K34" i="11"/>
  <c r="I34" i="11"/>
  <c r="H34" i="11"/>
  <c r="G34" i="11"/>
  <c r="J33" i="11"/>
  <c r="K33" i="11"/>
  <c r="I33" i="11"/>
  <c r="H33" i="11"/>
  <c r="I4" i="17"/>
  <c r="C53" i="11" s="1"/>
  <c r="I5" i="17"/>
  <c r="D53" i="11" s="1"/>
  <c r="I6" i="17"/>
  <c r="E53" i="11" s="1"/>
  <c r="I8" i="17"/>
  <c r="I9" i="17"/>
  <c r="H53" i="11" s="1"/>
  <c r="I10" i="17"/>
  <c r="I53" i="11" s="1"/>
  <c r="I11" i="17"/>
  <c r="J53" i="11" s="1"/>
  <c r="I12" i="17"/>
  <c r="K53" i="11" s="1"/>
  <c r="I3" i="17"/>
  <c r="B53" i="11" s="1"/>
  <c r="J30" i="11"/>
  <c r="K30" i="11"/>
  <c r="I30" i="11"/>
  <c r="K29" i="11"/>
  <c r="J29" i="11"/>
  <c r="I29" i="11"/>
  <c r="H29" i="11"/>
  <c r="G29" i="11"/>
  <c r="J28" i="11"/>
  <c r="K28" i="11"/>
  <c r="I28" i="11"/>
  <c r="H28" i="11"/>
  <c r="J25" i="11"/>
  <c r="K25" i="11"/>
  <c r="I25" i="11"/>
  <c r="J24" i="11"/>
  <c r="K24" i="11"/>
  <c r="I24" i="11"/>
  <c r="H24" i="11"/>
  <c r="G24" i="11"/>
  <c r="J23" i="11"/>
  <c r="K23" i="11"/>
  <c r="I23" i="11"/>
  <c r="H23" i="11"/>
  <c r="J20" i="11"/>
  <c r="K20" i="11"/>
  <c r="I20" i="11"/>
  <c r="H20" i="11"/>
  <c r="G20" i="11"/>
  <c r="F44" i="11"/>
  <c r="E44" i="11"/>
  <c r="D44" i="11"/>
  <c r="C44" i="11"/>
  <c r="B44" i="11"/>
  <c r="E43" i="11"/>
  <c r="D43" i="11"/>
  <c r="C43" i="11"/>
  <c r="B43" i="11"/>
  <c r="F40" i="11"/>
  <c r="E40" i="11"/>
  <c r="D40" i="11"/>
  <c r="C40" i="11"/>
  <c r="B40" i="11"/>
  <c r="F39" i="11"/>
  <c r="E39" i="11"/>
  <c r="D39" i="11"/>
  <c r="C39" i="11"/>
  <c r="B39" i="11"/>
  <c r="F38" i="11"/>
  <c r="E38" i="11"/>
  <c r="D38" i="11"/>
  <c r="C38" i="11"/>
  <c r="B38" i="11"/>
  <c r="E35" i="11"/>
  <c r="D35" i="11"/>
  <c r="C35" i="11"/>
  <c r="B35" i="11"/>
  <c r="F34" i="11"/>
  <c r="E34" i="11"/>
  <c r="D34" i="11"/>
  <c r="C34" i="11"/>
  <c r="B34" i="11"/>
  <c r="F33" i="11"/>
  <c r="E33" i="11"/>
  <c r="D33" i="11"/>
  <c r="C33" i="11"/>
  <c r="B33" i="11"/>
  <c r="F30" i="11"/>
  <c r="E30" i="11"/>
  <c r="D30" i="11"/>
  <c r="C30" i="11"/>
  <c r="B30" i="11"/>
  <c r="F29" i="11"/>
  <c r="E29" i="11"/>
  <c r="D29" i="11"/>
  <c r="C29" i="11"/>
  <c r="B29" i="11"/>
  <c r="E28" i="11"/>
  <c r="D28" i="11"/>
  <c r="C28" i="11"/>
  <c r="B28" i="11"/>
  <c r="F25" i="11"/>
  <c r="E25" i="11"/>
  <c r="D25" i="11"/>
  <c r="C25" i="11"/>
  <c r="B25" i="11"/>
  <c r="F24" i="11"/>
  <c r="E24" i="11"/>
  <c r="D24" i="11"/>
  <c r="C24" i="11"/>
  <c r="B24" i="11"/>
  <c r="F23" i="11"/>
  <c r="E23" i="11"/>
  <c r="D23" i="11"/>
  <c r="C23" i="11"/>
  <c r="B23" i="11"/>
  <c r="F20" i="11"/>
  <c r="E20" i="11"/>
  <c r="D20" i="11"/>
  <c r="C20" i="11"/>
  <c r="B20" i="11"/>
  <c r="J19" i="11"/>
  <c r="K19" i="11"/>
  <c r="I19" i="11"/>
  <c r="H19" i="11"/>
  <c r="F19" i="11"/>
  <c r="E19" i="11"/>
  <c r="D19" i="11"/>
  <c r="C19" i="11"/>
  <c r="B19" i="11"/>
  <c r="K16" i="11"/>
  <c r="I16" i="11"/>
  <c r="J16" i="11"/>
  <c r="H16" i="11"/>
  <c r="G16" i="11"/>
  <c r="F16" i="11"/>
  <c r="E16" i="11"/>
  <c r="D16" i="11"/>
  <c r="C16" i="11"/>
  <c r="B16" i="11"/>
  <c r="K15" i="11"/>
  <c r="J15" i="11"/>
  <c r="I15" i="11"/>
  <c r="H15" i="11"/>
  <c r="H63" i="11" s="1"/>
  <c r="E18" i="18"/>
  <c r="E19" i="18"/>
  <c r="E20" i="18"/>
  <c r="E21" i="18"/>
  <c r="E22" i="18"/>
  <c r="E23" i="18"/>
  <c r="E24" i="18"/>
  <c r="E25" i="18"/>
  <c r="E26" i="18"/>
  <c r="E30" i="18" s="1"/>
  <c r="D18" i="18"/>
  <c r="D19" i="18"/>
  <c r="D20" i="18"/>
  <c r="D22" i="18"/>
  <c r="D23" i="18"/>
  <c r="D24" i="18"/>
  <c r="D25" i="18"/>
  <c r="D26" i="18"/>
  <c r="D30" i="18" s="1"/>
  <c r="C18" i="18"/>
  <c r="C19" i="18"/>
  <c r="C20" i="18"/>
  <c r="C21" i="18"/>
  <c r="C22" i="18"/>
  <c r="C23" i="18"/>
  <c r="C24" i="18"/>
  <c r="C25" i="18"/>
  <c r="C26" i="18"/>
  <c r="C30" i="18" s="1"/>
  <c r="C17" i="18"/>
  <c r="D17" i="18"/>
  <c r="E17" i="18"/>
  <c r="B18" i="18"/>
  <c r="B19" i="18"/>
  <c r="B20" i="18"/>
  <c r="B21" i="18"/>
  <c r="B22" i="18"/>
  <c r="B23" i="18"/>
  <c r="B24" i="18"/>
  <c r="B25" i="18"/>
  <c r="B26" i="18"/>
  <c r="B30" i="18" s="1"/>
  <c r="I63" i="11" l="1"/>
  <c r="I65" i="11" s="1"/>
  <c r="J63" i="11"/>
  <c r="K63" i="11"/>
  <c r="B49" i="11"/>
  <c r="C49" i="11"/>
  <c r="K49" i="11"/>
  <c r="I48" i="11"/>
  <c r="I58" i="11" s="1"/>
  <c r="G49" i="11"/>
  <c r="E50" i="11"/>
  <c r="I50" i="11"/>
  <c r="C28" i="18"/>
  <c r="E28" i="18"/>
  <c r="J48" i="11"/>
  <c r="J58" i="11" s="1"/>
  <c r="H49" i="11"/>
  <c r="K48" i="11"/>
  <c r="K58" i="11" s="1"/>
  <c r="E49" i="11"/>
  <c r="J49" i="11"/>
  <c r="K50" i="11"/>
  <c r="D49" i="11"/>
  <c r="H48" i="11"/>
  <c r="H58" i="11" s="1"/>
  <c r="F49" i="11"/>
  <c r="I49" i="11"/>
  <c r="J50" i="11"/>
  <c r="D50" i="11"/>
  <c r="B50" i="11"/>
  <c r="C50" i="11"/>
  <c r="I22" i="9"/>
  <c r="J22" i="9"/>
  <c r="K22" i="9"/>
  <c r="M22" i="9"/>
  <c r="N22" i="9"/>
  <c r="N27" i="9" s="1"/>
  <c r="N47" i="9" s="1"/>
  <c r="E13" i="17"/>
  <c r="L28" i="11" s="1"/>
  <c r="G13" i="17"/>
  <c r="L38" i="11" s="1"/>
  <c r="H13" i="17"/>
  <c r="L43" i="11" s="1"/>
  <c r="D14" i="17"/>
  <c r="M23" i="11" s="1"/>
  <c r="H14" i="17"/>
  <c r="M43" i="11" s="1"/>
  <c r="C20" i="17"/>
  <c r="D20" i="17"/>
  <c r="E20" i="17"/>
  <c r="F20" i="17"/>
  <c r="G20" i="17"/>
  <c r="H20" i="17"/>
  <c r="C21" i="17"/>
  <c r="D21" i="17"/>
  <c r="E21" i="17"/>
  <c r="F21" i="17"/>
  <c r="G21" i="17"/>
  <c r="H21" i="17"/>
  <c r="C22" i="17"/>
  <c r="D22" i="17"/>
  <c r="E22" i="17"/>
  <c r="F22" i="17"/>
  <c r="G22" i="17"/>
  <c r="H22" i="17"/>
  <c r="C23" i="17"/>
  <c r="D23" i="17"/>
  <c r="F23" i="17"/>
  <c r="G23" i="17"/>
  <c r="C24" i="17"/>
  <c r="D24" i="17"/>
  <c r="F24" i="17"/>
  <c r="G24" i="17"/>
  <c r="C25" i="17"/>
  <c r="D25" i="17"/>
  <c r="E25" i="17"/>
  <c r="F25" i="17"/>
  <c r="G25" i="17"/>
  <c r="H25" i="17"/>
  <c r="C26" i="17"/>
  <c r="D26" i="17"/>
  <c r="E26" i="17"/>
  <c r="F26" i="17"/>
  <c r="G26" i="17"/>
  <c r="H26" i="17"/>
  <c r="C27" i="17"/>
  <c r="D27" i="17"/>
  <c r="E27" i="17"/>
  <c r="F27" i="17"/>
  <c r="G27" i="17"/>
  <c r="H27" i="17"/>
  <c r="C28" i="17"/>
  <c r="D28" i="17"/>
  <c r="E28" i="17"/>
  <c r="G28" i="17"/>
  <c r="H28" i="17"/>
  <c r="B21" i="17"/>
  <c r="B22" i="17"/>
  <c r="B23" i="17"/>
  <c r="B24" i="17"/>
  <c r="B25" i="17"/>
  <c r="B26" i="17"/>
  <c r="B27" i="17"/>
  <c r="B28" i="17"/>
  <c r="K65" i="11" l="1"/>
  <c r="J65" i="11"/>
  <c r="O23" i="11"/>
  <c r="O43" i="11"/>
  <c r="D30" i="17"/>
  <c r="C30" i="17"/>
  <c r="C32" i="17" s="1"/>
  <c r="C13" i="17" s="1"/>
  <c r="L19" i="11" s="1"/>
  <c r="F30" i="17"/>
  <c r="G30" i="17"/>
  <c r="F14" i="17"/>
  <c r="M33" i="11" s="1"/>
  <c r="L33" i="11"/>
  <c r="E14" i="17"/>
  <c r="M28" i="11" s="1"/>
  <c r="N26" i="9"/>
  <c r="N46" i="9" s="1"/>
  <c r="J26" i="9"/>
  <c r="J46" i="9" s="1"/>
  <c r="G14" i="17"/>
  <c r="M38" i="11" s="1"/>
  <c r="O38" i="11" s="1"/>
  <c r="M26" i="9"/>
  <c r="M46" i="9" s="1"/>
  <c r="J27" i="9"/>
  <c r="K26" i="9"/>
  <c r="K46" i="9" s="1"/>
  <c r="L34" i="9"/>
  <c r="N35" i="9"/>
  <c r="N34" i="9"/>
  <c r="M34" i="9" l="1"/>
  <c r="J47" i="9"/>
  <c r="J35" i="9"/>
  <c r="L46" i="9"/>
  <c r="O33" i="11"/>
  <c r="C14" i="17"/>
  <c r="M19" i="11" s="1"/>
  <c r="O19" i="11" s="1"/>
  <c r="I26" i="9"/>
  <c r="O28" i="11"/>
  <c r="K34" i="9"/>
  <c r="L27" i="9"/>
  <c r="L35" i="9" s="1"/>
  <c r="I27" i="9"/>
  <c r="M27" i="9"/>
  <c r="K27" i="9"/>
  <c r="J34" i="9"/>
  <c r="B123" i="27"/>
  <c r="C2" i="27"/>
  <c r="C122" i="27"/>
  <c r="C110" i="27"/>
  <c r="C98" i="27"/>
  <c r="C86" i="27"/>
  <c r="C74" i="27"/>
  <c r="C62" i="27"/>
  <c r="C50" i="27"/>
  <c r="C38" i="27"/>
  <c r="C26" i="27"/>
  <c r="C14" i="27"/>
  <c r="A4" i="9"/>
  <c r="A5" i="9"/>
  <c r="A6" i="9"/>
  <c r="A7" i="9"/>
  <c r="A8" i="9"/>
  <c r="A9" i="9"/>
  <c r="A10" i="9"/>
  <c r="A11" i="9"/>
  <c r="A12" i="9"/>
  <c r="A22" i="9" s="1"/>
  <c r="A13" i="9"/>
  <c r="A14" i="9"/>
  <c r="A3" i="9"/>
  <c r="G6" i="9"/>
  <c r="E54" i="11" s="1"/>
  <c r="E59" i="11" s="1"/>
  <c r="G7" i="9"/>
  <c r="F54" i="11" s="1"/>
  <c r="F59" i="11" s="1"/>
  <c r="G10" i="9"/>
  <c r="G11" i="9"/>
  <c r="G3" i="9"/>
  <c r="B54" i="11" s="1"/>
  <c r="G4" i="9"/>
  <c r="C54" i="11" s="1"/>
  <c r="C59" i="11" s="1"/>
  <c r="G5" i="9"/>
  <c r="D54" i="11" s="1"/>
  <c r="D59" i="11" s="1"/>
  <c r="G8" i="9"/>
  <c r="G9" i="9"/>
  <c r="G12" i="9"/>
  <c r="I47" i="9" l="1"/>
  <c r="G27" i="9"/>
  <c r="I46" i="9"/>
  <c r="G26" i="9"/>
  <c r="C123" i="27"/>
  <c r="C124" i="27" s="1"/>
  <c r="L47" i="9"/>
  <c r="K47" i="9"/>
  <c r="K35" i="9"/>
  <c r="M47" i="9"/>
  <c r="M35" i="9"/>
  <c r="I54" i="11"/>
  <c r="I59" i="11" s="1"/>
  <c r="I11" i="11"/>
  <c r="K11" i="11"/>
  <c r="K54" i="11"/>
  <c r="K59" i="11" s="1"/>
  <c r="H54" i="11"/>
  <c r="H59" i="11" s="1"/>
  <c r="H11" i="11"/>
  <c r="G54" i="11"/>
  <c r="G59" i="11" s="1"/>
  <c r="G11" i="11"/>
  <c r="J54" i="11"/>
  <c r="J59" i="11" s="1"/>
  <c r="J11" i="11"/>
  <c r="L18" i="23"/>
  <c r="L19" i="23" s="1"/>
  <c r="B3" i="23" s="1"/>
  <c r="X18" i="23"/>
  <c r="X19" i="23" s="1"/>
  <c r="B15" i="23" s="1"/>
  <c r="T18" i="23"/>
  <c r="T19" i="23" s="1"/>
  <c r="B11" i="23" s="1"/>
  <c r="W18" i="23"/>
  <c r="W19" i="23" s="1"/>
  <c r="B14" i="23" s="1"/>
  <c r="O18" i="23"/>
  <c r="O19" i="23" s="1"/>
  <c r="B6" i="23" s="1"/>
  <c r="Z18" i="23"/>
  <c r="Z19" i="23" s="1"/>
  <c r="B17" i="23" s="1"/>
  <c r="V18" i="23"/>
  <c r="V19" i="23" s="1"/>
  <c r="B13" i="23" s="1"/>
  <c r="R18" i="23"/>
  <c r="N18" i="23"/>
  <c r="N19" i="23" s="1"/>
  <c r="B5" i="23" s="1"/>
  <c r="P18" i="23"/>
  <c r="P19" i="23" s="1"/>
  <c r="B7" i="23" s="1"/>
  <c r="AA18" i="23"/>
  <c r="AA19" i="23" s="1"/>
  <c r="B18" i="23" s="1"/>
  <c r="S18" i="23"/>
  <c r="Y18" i="23"/>
  <c r="Y19" i="23" s="1"/>
  <c r="B16" i="23" s="1"/>
  <c r="U18" i="23"/>
  <c r="Q18" i="23"/>
  <c r="Q19" i="23" s="1"/>
  <c r="B8" i="23" s="1"/>
  <c r="M18" i="23"/>
  <c r="M19" i="23" s="1"/>
  <c r="B4" i="23" s="1"/>
  <c r="G122" i="33"/>
  <c r="C241" i="25" s="1"/>
  <c r="F122" i="33"/>
  <c r="C122" i="33"/>
  <c r="G121" i="33"/>
  <c r="C240" i="25" s="1"/>
  <c r="F121" i="33"/>
  <c r="B240" i="25" s="1"/>
  <c r="C121" i="33"/>
  <c r="G120" i="33"/>
  <c r="C239" i="25" s="1"/>
  <c r="F120" i="33"/>
  <c r="B239" i="25" s="1"/>
  <c r="C120" i="33"/>
  <c r="G119" i="33"/>
  <c r="C238" i="25" s="1"/>
  <c r="F119" i="33"/>
  <c r="B238" i="25" s="1"/>
  <c r="C119" i="33"/>
  <c r="G118" i="33"/>
  <c r="C237" i="25" s="1"/>
  <c r="F118" i="33"/>
  <c r="C118" i="33"/>
  <c r="G117" i="33"/>
  <c r="C236" i="25" s="1"/>
  <c r="F117" i="33"/>
  <c r="B236" i="25" s="1"/>
  <c r="C117" i="33"/>
  <c r="G116" i="33"/>
  <c r="C235" i="25" s="1"/>
  <c r="F116" i="33"/>
  <c r="B235" i="25" s="1"/>
  <c r="C116" i="33"/>
  <c r="G115" i="33"/>
  <c r="C234" i="25" s="1"/>
  <c r="F115" i="33"/>
  <c r="B234" i="25" s="1"/>
  <c r="C115" i="33"/>
  <c r="G114" i="33"/>
  <c r="C233" i="25" s="1"/>
  <c r="F114" i="33"/>
  <c r="B233" i="25" s="1"/>
  <c r="C114" i="33"/>
  <c r="G113" i="33"/>
  <c r="C232" i="25" s="1"/>
  <c r="F113" i="33"/>
  <c r="B232" i="25" s="1"/>
  <c r="C113" i="33"/>
  <c r="G112" i="33"/>
  <c r="C231" i="25" s="1"/>
  <c r="F112" i="33"/>
  <c r="B231" i="25" s="1"/>
  <c r="C112" i="33"/>
  <c r="G111" i="33"/>
  <c r="C230" i="25" s="1"/>
  <c r="F111" i="33"/>
  <c r="B230" i="25" s="1"/>
  <c r="C111" i="33"/>
  <c r="G110" i="33"/>
  <c r="C229" i="25" s="1"/>
  <c r="F110" i="33"/>
  <c r="B229" i="25" s="1"/>
  <c r="C110" i="33"/>
  <c r="G109" i="33"/>
  <c r="C228" i="25" s="1"/>
  <c r="F109" i="33"/>
  <c r="B228" i="25" s="1"/>
  <c r="C109" i="33"/>
  <c r="G108" i="33"/>
  <c r="C227" i="25" s="1"/>
  <c r="F108" i="33"/>
  <c r="B227" i="25" s="1"/>
  <c r="C108" i="33"/>
  <c r="G107" i="33"/>
  <c r="C226" i="25" s="1"/>
  <c r="F107" i="33"/>
  <c r="B226" i="25" s="1"/>
  <c r="C107" i="33"/>
  <c r="G106" i="33"/>
  <c r="C225" i="25" s="1"/>
  <c r="F106" i="33"/>
  <c r="B225" i="25" s="1"/>
  <c r="C106" i="33"/>
  <c r="G105" i="33"/>
  <c r="C224" i="25" s="1"/>
  <c r="F105" i="33"/>
  <c r="B224" i="25" s="1"/>
  <c r="C105" i="33"/>
  <c r="G104" i="33"/>
  <c r="C223" i="25" s="1"/>
  <c r="F104" i="33"/>
  <c r="B223" i="25" s="1"/>
  <c r="C104" i="33"/>
  <c r="G103" i="33"/>
  <c r="C222" i="25" s="1"/>
  <c r="F103" i="33"/>
  <c r="B222" i="25" s="1"/>
  <c r="C103" i="33"/>
  <c r="G102" i="33"/>
  <c r="C221" i="25" s="1"/>
  <c r="F102" i="33"/>
  <c r="B221" i="25" s="1"/>
  <c r="C102" i="33"/>
  <c r="G101" i="33"/>
  <c r="C220" i="25" s="1"/>
  <c r="F101" i="33"/>
  <c r="B220" i="25" s="1"/>
  <c r="C101" i="33"/>
  <c r="G100" i="33"/>
  <c r="C219" i="25" s="1"/>
  <c r="F100" i="33"/>
  <c r="B219" i="25" s="1"/>
  <c r="C100" i="33"/>
  <c r="G99" i="33"/>
  <c r="C218" i="25" s="1"/>
  <c r="F99" i="33"/>
  <c r="B218" i="25" s="1"/>
  <c r="C99" i="33"/>
  <c r="G98" i="33"/>
  <c r="C217" i="25" s="1"/>
  <c r="F98" i="33"/>
  <c r="B217" i="25" s="1"/>
  <c r="C98" i="33"/>
  <c r="G97" i="33"/>
  <c r="C216" i="25" s="1"/>
  <c r="F97" i="33"/>
  <c r="B216" i="25" s="1"/>
  <c r="C97" i="33"/>
  <c r="G96" i="33"/>
  <c r="C215" i="25" s="1"/>
  <c r="F96" i="33"/>
  <c r="B215" i="25" s="1"/>
  <c r="C96" i="33"/>
  <c r="G95" i="33"/>
  <c r="C214" i="25" s="1"/>
  <c r="F95" i="33"/>
  <c r="B214" i="25" s="1"/>
  <c r="C95" i="33"/>
  <c r="G94" i="33"/>
  <c r="C213" i="25" s="1"/>
  <c r="F94" i="33"/>
  <c r="B213" i="25" s="1"/>
  <c r="C94" i="33"/>
  <c r="G93" i="33"/>
  <c r="C212" i="25" s="1"/>
  <c r="F93" i="33"/>
  <c r="B212" i="25" s="1"/>
  <c r="C93" i="33"/>
  <c r="G92" i="33"/>
  <c r="C211" i="25" s="1"/>
  <c r="F92" i="33"/>
  <c r="B211" i="25" s="1"/>
  <c r="C92" i="33"/>
  <c r="G91" i="33"/>
  <c r="C210" i="25" s="1"/>
  <c r="F91" i="33"/>
  <c r="B210" i="25" s="1"/>
  <c r="C91" i="33"/>
  <c r="G90" i="33"/>
  <c r="C209" i="25" s="1"/>
  <c r="F90" i="33"/>
  <c r="B209" i="25" s="1"/>
  <c r="C90" i="33"/>
  <c r="G89" i="33"/>
  <c r="C208" i="25" s="1"/>
  <c r="F89" i="33"/>
  <c r="B208" i="25" s="1"/>
  <c r="C89" i="33"/>
  <c r="G88" i="33"/>
  <c r="C207" i="25" s="1"/>
  <c r="F88" i="33"/>
  <c r="B207" i="25" s="1"/>
  <c r="C88" i="33"/>
  <c r="G87" i="33"/>
  <c r="C206" i="25" s="1"/>
  <c r="F87" i="33"/>
  <c r="B206" i="25" s="1"/>
  <c r="C87" i="33"/>
  <c r="G86" i="33"/>
  <c r="C205" i="25" s="1"/>
  <c r="F86" i="33"/>
  <c r="B205" i="25" s="1"/>
  <c r="C86" i="33"/>
  <c r="G85" i="33"/>
  <c r="C204" i="25" s="1"/>
  <c r="F85" i="33"/>
  <c r="B204" i="25" s="1"/>
  <c r="C85" i="33"/>
  <c r="G84" i="33"/>
  <c r="C203" i="25" s="1"/>
  <c r="F84" i="33"/>
  <c r="B203" i="25" s="1"/>
  <c r="C84" i="33"/>
  <c r="G83" i="33"/>
  <c r="C202" i="25" s="1"/>
  <c r="F83" i="33"/>
  <c r="B202" i="25" s="1"/>
  <c r="C83" i="33"/>
  <c r="G82" i="33"/>
  <c r="C201" i="25" s="1"/>
  <c r="F82" i="33"/>
  <c r="B201" i="25" s="1"/>
  <c r="C82" i="33"/>
  <c r="G81" i="33"/>
  <c r="C200" i="25" s="1"/>
  <c r="F81" i="33"/>
  <c r="B200" i="25" s="1"/>
  <c r="C81" i="33"/>
  <c r="G80" i="33"/>
  <c r="C199" i="25" s="1"/>
  <c r="F80" i="33"/>
  <c r="B199" i="25" s="1"/>
  <c r="C80" i="33"/>
  <c r="G79" i="33"/>
  <c r="C198" i="25" s="1"/>
  <c r="F79" i="33"/>
  <c r="B198" i="25" s="1"/>
  <c r="C79" i="33"/>
  <c r="G78" i="33"/>
  <c r="C197" i="25" s="1"/>
  <c r="F78" i="33"/>
  <c r="B197" i="25" s="1"/>
  <c r="C78" i="33"/>
  <c r="G77" i="33"/>
  <c r="C196" i="25" s="1"/>
  <c r="F77" i="33"/>
  <c r="B196" i="25" s="1"/>
  <c r="C77" i="33"/>
  <c r="G76" i="33"/>
  <c r="C195" i="25" s="1"/>
  <c r="F76" i="33"/>
  <c r="B195" i="25" s="1"/>
  <c r="C76" i="33"/>
  <c r="G75" i="33"/>
  <c r="C194" i="25" s="1"/>
  <c r="F75" i="33"/>
  <c r="B194" i="25" s="1"/>
  <c r="C75" i="33"/>
  <c r="G74" i="33"/>
  <c r="C193" i="25" s="1"/>
  <c r="F74" i="33"/>
  <c r="B193" i="25" s="1"/>
  <c r="C74" i="33"/>
  <c r="G73" i="33"/>
  <c r="C192" i="25" s="1"/>
  <c r="F73" i="33"/>
  <c r="B192" i="25" s="1"/>
  <c r="B254" i="25" s="1"/>
  <c r="C73" i="33"/>
  <c r="G72" i="33"/>
  <c r="C191" i="25" s="1"/>
  <c r="F72" i="33"/>
  <c r="B191" i="25" s="1"/>
  <c r="B253" i="25" s="1"/>
  <c r="C72" i="33"/>
  <c r="G71" i="33"/>
  <c r="C190" i="25" s="1"/>
  <c r="F71" i="33"/>
  <c r="C71" i="33"/>
  <c r="G70" i="33"/>
  <c r="C189" i="25" s="1"/>
  <c r="C251" i="25" s="1"/>
  <c r="F70" i="33"/>
  <c r="B189" i="25" s="1"/>
  <c r="C70" i="33"/>
  <c r="G69" i="33"/>
  <c r="C188" i="25" s="1"/>
  <c r="C250" i="25" s="1"/>
  <c r="F69" i="33"/>
  <c r="B188" i="25" s="1"/>
  <c r="C69" i="33"/>
  <c r="G68" i="33"/>
  <c r="C187" i="25" s="1"/>
  <c r="C249" i="25" s="1"/>
  <c r="F68" i="33"/>
  <c r="B187" i="25" s="1"/>
  <c r="C68" i="33"/>
  <c r="G67" i="33"/>
  <c r="C186" i="25" s="1"/>
  <c r="C248" i="25" s="1"/>
  <c r="F67" i="33"/>
  <c r="C67" i="33"/>
  <c r="G66" i="33"/>
  <c r="C185" i="25" s="1"/>
  <c r="F66" i="33"/>
  <c r="B185" i="25" s="1"/>
  <c r="C66" i="33"/>
  <c r="G65" i="33"/>
  <c r="C184" i="25" s="1"/>
  <c r="F65" i="33"/>
  <c r="B184" i="25" s="1"/>
  <c r="B246" i="25" s="1"/>
  <c r="C65" i="33"/>
  <c r="G64" i="33"/>
  <c r="C183" i="25" s="1"/>
  <c r="F64" i="33"/>
  <c r="B183" i="25" s="1"/>
  <c r="B245" i="25" s="1"/>
  <c r="C64" i="33"/>
  <c r="G63" i="33"/>
  <c r="C182" i="25" s="1"/>
  <c r="F63" i="33"/>
  <c r="F123" i="33" s="1"/>
  <c r="C63" i="33"/>
  <c r="G62" i="33"/>
  <c r="C61" i="33"/>
  <c r="C60" i="33"/>
  <c r="C59" i="33"/>
  <c r="C58" i="33"/>
  <c r="C57" i="33"/>
  <c r="C56" i="33"/>
  <c r="C55" i="33"/>
  <c r="C54" i="33"/>
  <c r="C53" i="33"/>
  <c r="C52" i="33"/>
  <c r="C51" i="33"/>
  <c r="C50" i="33"/>
  <c r="C49" i="33"/>
  <c r="C48" i="33"/>
  <c r="C47" i="33"/>
  <c r="C46" i="33"/>
  <c r="C45" i="33"/>
  <c r="C44" i="33"/>
  <c r="C43" i="33"/>
  <c r="C42" i="33"/>
  <c r="C41" i="33"/>
  <c r="C40" i="33"/>
  <c r="C39" i="33"/>
  <c r="C38" i="33"/>
  <c r="C37" i="33"/>
  <c r="C36" i="33"/>
  <c r="C35" i="33"/>
  <c r="C34" i="33"/>
  <c r="C33" i="33"/>
  <c r="C32" i="33"/>
  <c r="C31" i="33"/>
  <c r="C30" i="33"/>
  <c r="C29" i="33"/>
  <c r="C28" i="33"/>
  <c r="C27" i="33"/>
  <c r="C151" i="33" s="1"/>
  <c r="C26" i="33"/>
  <c r="C25" i="33"/>
  <c r="C24" i="33"/>
  <c r="C23" i="33"/>
  <c r="C22" i="33"/>
  <c r="C21" i="33"/>
  <c r="C20" i="33"/>
  <c r="C19" i="33"/>
  <c r="C18" i="33"/>
  <c r="C17" i="33"/>
  <c r="C16" i="33"/>
  <c r="N15" i="33"/>
  <c r="C15" i="33"/>
  <c r="C14" i="33"/>
  <c r="C13" i="33"/>
  <c r="C12" i="33"/>
  <c r="C11" i="33"/>
  <c r="C10" i="33"/>
  <c r="C9" i="33"/>
  <c r="C8" i="33"/>
  <c r="C7" i="33"/>
  <c r="C6" i="33"/>
  <c r="C5" i="33"/>
  <c r="C4" i="33"/>
  <c r="C3" i="33"/>
  <c r="C156" i="33" l="1"/>
  <c r="C158" i="33"/>
  <c r="C154" i="33"/>
  <c r="C152" i="33"/>
  <c r="C155" i="33"/>
  <c r="C245" i="25"/>
  <c r="C253" i="25"/>
  <c r="C157" i="33"/>
  <c r="C149" i="33"/>
  <c r="C150" i="33"/>
  <c r="C246" i="25"/>
  <c r="B249" i="25"/>
  <c r="C254" i="25"/>
  <c r="C244" i="25"/>
  <c r="B247" i="25"/>
  <c r="C252" i="25"/>
  <c r="C247" i="25"/>
  <c r="B250" i="25"/>
  <c r="C255" i="25"/>
  <c r="U19" i="23"/>
  <c r="B12" i="23" s="1"/>
  <c r="S19" i="23"/>
  <c r="B10" i="23" s="1"/>
  <c r="R19" i="23"/>
  <c r="B9" i="23" s="1"/>
  <c r="B182" i="25"/>
  <c r="B244" i="25" s="1"/>
  <c r="B190" i="25"/>
  <c r="B252" i="25" s="1"/>
  <c r="B186" i="25"/>
  <c r="B248" i="25" s="1"/>
  <c r="B237" i="25"/>
  <c r="B251" i="25" s="1"/>
  <c r="B241" i="25"/>
  <c r="B255" i="25" s="1"/>
  <c r="D3" i="23"/>
  <c r="G123" i="33"/>
  <c r="G135" i="33" s="1"/>
  <c r="G124" i="33"/>
  <c r="G136" i="33" s="1"/>
  <c r="G125" i="33"/>
  <c r="G137" i="33" s="1"/>
  <c r="G126" i="33"/>
  <c r="G138" i="33" s="1"/>
  <c r="G127" i="33"/>
  <c r="G139" i="33" s="1"/>
  <c r="G128" i="33"/>
  <c r="G140" i="33" s="1"/>
  <c r="G129" i="33"/>
  <c r="G141" i="33" s="1"/>
  <c r="G130" i="33"/>
  <c r="G142" i="33" s="1"/>
  <c r="G131" i="33"/>
  <c r="G143" i="33" s="1"/>
  <c r="G132" i="33"/>
  <c r="G144" i="33" s="1"/>
  <c r="G133" i="33"/>
  <c r="G145" i="33" s="1"/>
  <c r="G134" i="33"/>
  <c r="G146" i="33" s="1"/>
  <c r="F124" i="33"/>
  <c r="F125" i="33"/>
  <c r="F126" i="33"/>
  <c r="F127" i="33"/>
  <c r="F128" i="33"/>
  <c r="F129" i="33"/>
  <c r="F130" i="33"/>
  <c r="F131" i="33"/>
  <c r="F132" i="33"/>
  <c r="F133" i="33"/>
  <c r="F134" i="33"/>
  <c r="U226" i="33"/>
  <c r="U228" i="33"/>
  <c r="N16" i="33"/>
  <c r="U229" i="33"/>
  <c r="U230" i="33"/>
  <c r="B19" i="23" l="1"/>
  <c r="F137" i="33"/>
  <c r="F144" i="33"/>
  <c r="F140" i="33"/>
  <c r="F136" i="33"/>
  <c r="F145" i="33"/>
  <c r="F141" i="33"/>
  <c r="F146" i="33"/>
  <c r="F143" i="33"/>
  <c r="F139" i="33"/>
  <c r="F135" i="33"/>
  <c r="F142" i="33"/>
  <c r="F138" i="33"/>
  <c r="U232" i="33"/>
  <c r="U231" i="33"/>
  <c r="U227" i="33"/>
  <c r="N17" i="33"/>
  <c r="N18" i="33" l="1"/>
  <c r="N19" i="33" l="1"/>
  <c r="N20" i="33" l="1"/>
  <c r="N21" i="33" l="1"/>
  <c r="N22" i="33" l="1"/>
  <c r="N23" i="33" l="1"/>
  <c r="N24" i="33" l="1"/>
  <c r="N25" i="33" l="1"/>
  <c r="N122" i="33" l="1"/>
  <c r="N110" i="33"/>
  <c r="N98" i="33"/>
  <c r="N86" i="33"/>
  <c r="N74" i="33"/>
  <c r="N87" i="33" l="1"/>
  <c r="N88" i="33" s="1"/>
  <c r="N89" i="33" s="1"/>
  <c r="N90" i="33" s="1"/>
  <c r="N91" i="33" s="1"/>
  <c r="N92" i="33" s="1"/>
  <c r="N93" i="33" s="1"/>
  <c r="N94" i="33" s="1"/>
  <c r="N95" i="33" s="1"/>
  <c r="N96" i="33" s="1"/>
  <c r="N97" i="33" s="1"/>
  <c r="N99" i="33"/>
  <c r="N100" i="33" s="1"/>
  <c r="N101" i="33" s="1"/>
  <c r="N102" i="33" s="1"/>
  <c r="N103" i="33" s="1"/>
  <c r="N104" i="33" s="1"/>
  <c r="N105" i="33" s="1"/>
  <c r="N106" i="33" s="1"/>
  <c r="N107" i="33" s="1"/>
  <c r="N108" i="33" s="1"/>
  <c r="N109" i="33" s="1"/>
  <c r="N75" i="33"/>
  <c r="N76" i="33" s="1"/>
  <c r="N111" i="33"/>
  <c r="N112" i="33" s="1"/>
  <c r="N113" i="33" s="1"/>
  <c r="N114" i="33" s="1"/>
  <c r="N115" i="33" s="1"/>
  <c r="F7" i="18"/>
  <c r="F8" i="18"/>
  <c r="F9" i="18"/>
  <c r="I55" i="11" s="1"/>
  <c r="I60" i="11" s="1"/>
  <c r="F10" i="18"/>
  <c r="J55" i="11" s="1"/>
  <c r="J60" i="11" s="1"/>
  <c r="F11" i="18"/>
  <c r="K55" i="11" s="1"/>
  <c r="K60" i="11" s="1"/>
  <c r="N26" i="33"/>
  <c r="N38" i="33"/>
  <c r="N50" i="33"/>
  <c r="N116" i="33" l="1"/>
  <c r="N117" i="33" s="1"/>
  <c r="N118" i="33" s="1"/>
  <c r="N119" i="33" s="1"/>
  <c r="N120" i="33" s="1"/>
  <c r="N121" i="33" s="1"/>
  <c r="N39" i="33"/>
  <c r="N40" i="33" s="1"/>
  <c r="N41" i="33" s="1"/>
  <c r="N42" i="33" s="1"/>
  <c r="N43" i="33" s="1"/>
  <c r="N44" i="33" s="1"/>
  <c r="N45" i="33" s="1"/>
  <c r="N46" i="33" s="1"/>
  <c r="N47" i="33" s="1"/>
  <c r="N48" i="33" s="1"/>
  <c r="N49" i="33" s="1"/>
  <c r="N27" i="33"/>
  <c r="N28" i="33" s="1"/>
  <c r="N29" i="33" s="1"/>
  <c r="N30" i="33" s="1"/>
  <c r="N31" i="33" s="1"/>
  <c r="N32" i="33" s="1"/>
  <c r="N33" i="33" s="1"/>
  <c r="N34" i="33" s="1"/>
  <c r="N35" i="33" s="1"/>
  <c r="N36" i="33" s="1"/>
  <c r="N37" i="33" s="1"/>
  <c r="N77" i="33"/>
  <c r="N78" i="33" s="1"/>
  <c r="N79" i="33" s="1"/>
  <c r="N80" i="33" s="1"/>
  <c r="N81" i="33" s="1"/>
  <c r="N82" i="33" s="1"/>
  <c r="N83" i="33" s="1"/>
  <c r="N84" i="33" s="1"/>
  <c r="N85" i="33" s="1"/>
  <c r="C176" i="32"/>
  <c r="C166" i="32"/>
  <c r="E155" i="32"/>
  <c r="F154" i="32"/>
  <c r="F156" i="32" s="1"/>
  <c r="E153" i="32"/>
  <c r="E152" i="32"/>
  <c r="C144" i="32"/>
  <c r="B144" i="32"/>
  <c r="F143" i="32"/>
  <c r="E142" i="32"/>
  <c r="F142" i="32" s="1"/>
  <c r="D141" i="32"/>
  <c r="E141" i="32" s="1"/>
  <c r="F141" i="32" s="1"/>
  <c r="E140" i="32"/>
  <c r="B138" i="32"/>
  <c r="F134" i="32"/>
  <c r="A129" i="32"/>
  <c r="H51" i="32"/>
  <c r="G51" i="32"/>
  <c r="F51" i="32"/>
  <c r="E51" i="32"/>
  <c r="D51" i="32"/>
  <c r="C51" i="32"/>
  <c r="B51" i="32"/>
  <c r="H50" i="32"/>
  <c r="G50" i="32"/>
  <c r="F50" i="32"/>
  <c r="E50" i="32"/>
  <c r="D50" i="32"/>
  <c r="C50" i="32"/>
  <c r="B50" i="32"/>
  <c r="H49" i="32"/>
  <c r="G49" i="32"/>
  <c r="F49" i="32"/>
  <c r="E49" i="32"/>
  <c r="D49" i="32"/>
  <c r="C49" i="32"/>
  <c r="B49" i="32"/>
  <c r="H48" i="32"/>
  <c r="G48" i="32"/>
  <c r="F48" i="32"/>
  <c r="E48" i="32"/>
  <c r="D48" i="32"/>
  <c r="C48" i="32"/>
  <c r="B48" i="32"/>
  <c r="H47" i="32"/>
  <c r="G47" i="32"/>
  <c r="F47" i="32"/>
  <c r="E47" i="32"/>
  <c r="D47" i="32"/>
  <c r="C47" i="32"/>
  <c r="B47" i="32"/>
  <c r="H46" i="32"/>
  <c r="G46" i="32"/>
  <c r="F46" i="32"/>
  <c r="E46" i="32"/>
  <c r="D46" i="32"/>
  <c r="C46" i="32"/>
  <c r="B46" i="32"/>
  <c r="H45" i="32"/>
  <c r="G45" i="32"/>
  <c r="F45" i="32"/>
  <c r="E45" i="32"/>
  <c r="D45" i="32"/>
  <c r="C45" i="32"/>
  <c r="B45" i="32"/>
  <c r="H44" i="32"/>
  <c r="G44" i="32"/>
  <c r="F44" i="32"/>
  <c r="E44" i="32"/>
  <c r="D44" i="32"/>
  <c r="C44" i="32"/>
  <c r="B44" i="32"/>
  <c r="G43" i="32"/>
  <c r="F43" i="32"/>
  <c r="E43" i="32"/>
  <c r="D43" i="32"/>
  <c r="C43" i="32"/>
  <c r="B43" i="32"/>
  <c r="G42" i="32"/>
  <c r="F42" i="32"/>
  <c r="E42" i="32"/>
  <c r="D42" i="32"/>
  <c r="C42" i="32"/>
  <c r="B42" i="32"/>
  <c r="G41" i="32"/>
  <c r="F41" i="32"/>
  <c r="E41" i="32"/>
  <c r="D41" i="32"/>
  <c r="C41" i="32"/>
  <c r="B41" i="32"/>
  <c r="I35" i="32"/>
  <c r="I51" i="32" s="1"/>
  <c r="I34" i="32"/>
  <c r="I49" i="32" s="1"/>
  <c r="I33" i="32"/>
  <c r="I32" i="32"/>
  <c r="I31" i="32"/>
  <c r="I30" i="32"/>
  <c r="I45" i="32" s="1"/>
  <c r="I29" i="32"/>
  <c r="I28" i="32"/>
  <c r="I27" i="32"/>
  <c r="I26" i="32"/>
  <c r="I25" i="32"/>
  <c r="I24" i="32"/>
  <c r="I14" i="23"/>
  <c r="E3" i="23" s="1"/>
  <c r="B26" i="23" s="1"/>
  <c r="B137" i="22"/>
  <c r="B133" i="22"/>
  <c r="B132" i="22"/>
  <c r="B131" i="22"/>
  <c r="B130" i="22"/>
  <c r="B129" i="22"/>
  <c r="B128" i="22"/>
  <c r="B127" i="22"/>
  <c r="B126" i="22"/>
  <c r="D119" i="22"/>
  <c r="D110" i="22"/>
  <c r="D122" i="22" s="1"/>
  <c r="C110" i="22"/>
  <c r="C122" i="22" s="1"/>
  <c r="J122" i="22" s="1"/>
  <c r="D109" i="22"/>
  <c r="D121" i="22" s="1"/>
  <c r="C109" i="22"/>
  <c r="D108" i="22"/>
  <c r="D120" i="22" s="1"/>
  <c r="C108" i="22"/>
  <c r="D107" i="22"/>
  <c r="C107" i="22"/>
  <c r="D106" i="22"/>
  <c r="D118" i="22" s="1"/>
  <c r="C106" i="22"/>
  <c r="D105" i="22"/>
  <c r="D117" i="22" s="1"/>
  <c r="C105" i="22"/>
  <c r="D104" i="22"/>
  <c r="D116" i="22" s="1"/>
  <c r="C104" i="22"/>
  <c r="C116" i="22" s="1"/>
  <c r="J116" i="22" s="1"/>
  <c r="D103" i="22"/>
  <c r="D115" i="22" s="1"/>
  <c r="C103" i="22"/>
  <c r="D102" i="22"/>
  <c r="D114" i="22" s="1"/>
  <c r="C102" i="22"/>
  <c r="D101" i="22"/>
  <c r="D113" i="22" s="1"/>
  <c r="C101" i="22"/>
  <c r="D100" i="22"/>
  <c r="D112" i="22" s="1"/>
  <c r="C100" i="22"/>
  <c r="D99" i="22"/>
  <c r="D111" i="22" s="1"/>
  <c r="C99" i="22"/>
  <c r="H92" i="22"/>
  <c r="J92" i="22" s="1"/>
  <c r="H81" i="22"/>
  <c r="J81" i="22" s="1"/>
  <c r="J74" i="22"/>
  <c r="J73" i="22"/>
  <c r="J72" i="22"/>
  <c r="J71" i="22"/>
  <c r="J70" i="22"/>
  <c r="J69" i="22"/>
  <c r="J68" i="22"/>
  <c r="J67" i="22"/>
  <c r="J66" i="22"/>
  <c r="J65" i="22"/>
  <c r="J64" i="22"/>
  <c r="J63" i="22"/>
  <c r="J62" i="22"/>
  <c r="J61" i="22"/>
  <c r="J60" i="22"/>
  <c r="J59" i="22"/>
  <c r="J58" i="22"/>
  <c r="J57" i="22"/>
  <c r="J56" i="22"/>
  <c r="J55" i="22"/>
  <c r="J54" i="22"/>
  <c r="J53" i="22"/>
  <c r="J52" i="22"/>
  <c r="J51" i="22"/>
  <c r="J50" i="22"/>
  <c r="J49" i="22"/>
  <c r="J48" i="22"/>
  <c r="J47" i="22"/>
  <c r="J46" i="22"/>
  <c r="J45" i="22"/>
  <c r="J44" i="22"/>
  <c r="J43" i="22"/>
  <c r="J42" i="22"/>
  <c r="J41" i="22"/>
  <c r="J40" i="22"/>
  <c r="J39" i="22"/>
  <c r="J38" i="22"/>
  <c r="J37" i="22"/>
  <c r="J36" i="22"/>
  <c r="J35" i="22"/>
  <c r="J34" i="22"/>
  <c r="J33" i="22"/>
  <c r="J32" i="22"/>
  <c r="J31" i="22"/>
  <c r="J30" i="22"/>
  <c r="J29" i="22"/>
  <c r="J28" i="22"/>
  <c r="J27" i="22"/>
  <c r="J26" i="22"/>
  <c r="J25" i="22"/>
  <c r="J24" i="22"/>
  <c r="J23" i="22"/>
  <c r="J22" i="22"/>
  <c r="J21" i="22"/>
  <c r="J20" i="22"/>
  <c r="J19" i="22"/>
  <c r="J18" i="22"/>
  <c r="J17" i="22"/>
  <c r="J16" i="22"/>
  <c r="J15" i="22"/>
  <c r="J14" i="22"/>
  <c r="J13" i="22"/>
  <c r="J12" i="22"/>
  <c r="J11" i="22"/>
  <c r="J10" i="22"/>
  <c r="J9" i="22"/>
  <c r="J8" i="22"/>
  <c r="J7" i="22"/>
  <c r="J6" i="22"/>
  <c r="J5" i="22"/>
  <c r="J4" i="22"/>
  <c r="J3" i="22"/>
  <c r="B133" i="21"/>
  <c r="B132" i="21"/>
  <c r="B131" i="21"/>
  <c r="B130" i="21"/>
  <c r="B129" i="21"/>
  <c r="B128" i="21"/>
  <c r="B127" i="21"/>
  <c r="B126" i="21"/>
  <c r="D122" i="21"/>
  <c r="D120" i="21"/>
  <c r="D116" i="21"/>
  <c r="D110" i="21"/>
  <c r="C110" i="21"/>
  <c r="D109" i="21"/>
  <c r="D121" i="21" s="1"/>
  <c r="C109" i="21"/>
  <c r="D108" i="21"/>
  <c r="C108" i="21"/>
  <c r="D107" i="21"/>
  <c r="D119" i="21" s="1"/>
  <c r="C107" i="21"/>
  <c r="D106" i="21"/>
  <c r="D118" i="21" s="1"/>
  <c r="C106" i="21"/>
  <c r="D105" i="21"/>
  <c r="D117" i="21" s="1"/>
  <c r="C105" i="21"/>
  <c r="D104" i="21"/>
  <c r="C104" i="21"/>
  <c r="D103" i="21"/>
  <c r="D115" i="21" s="1"/>
  <c r="C103" i="21"/>
  <c r="C115" i="21" s="1"/>
  <c r="J115" i="21" s="1"/>
  <c r="D102" i="21"/>
  <c r="D114" i="21" s="1"/>
  <c r="C102" i="21"/>
  <c r="D101" i="21"/>
  <c r="D113" i="21" s="1"/>
  <c r="C101" i="21"/>
  <c r="D100" i="21"/>
  <c r="D112" i="21" s="1"/>
  <c r="C100" i="21"/>
  <c r="D99" i="21"/>
  <c r="D111" i="21" s="1"/>
  <c r="C99" i="21"/>
  <c r="H92" i="21"/>
  <c r="H81" i="21"/>
  <c r="J81" i="21" s="1"/>
  <c r="J74" i="21"/>
  <c r="J73" i="21"/>
  <c r="J72" i="21"/>
  <c r="J71" i="21"/>
  <c r="J70" i="21"/>
  <c r="J69" i="21"/>
  <c r="J68" i="21"/>
  <c r="J67" i="21"/>
  <c r="J66" i="21"/>
  <c r="J65" i="21"/>
  <c r="J64" i="21"/>
  <c r="J63" i="21"/>
  <c r="J62" i="21"/>
  <c r="J61" i="21"/>
  <c r="J60" i="21"/>
  <c r="J59" i="21"/>
  <c r="J58" i="21"/>
  <c r="J57" i="21"/>
  <c r="J56" i="21"/>
  <c r="J55" i="21"/>
  <c r="J54" i="21"/>
  <c r="J53" i="21"/>
  <c r="J52" i="21"/>
  <c r="J51" i="21"/>
  <c r="J50" i="21"/>
  <c r="J49" i="21"/>
  <c r="J48" i="21"/>
  <c r="J47" i="21"/>
  <c r="J46" i="21"/>
  <c r="J45" i="21"/>
  <c r="J44" i="21"/>
  <c r="J43" i="21"/>
  <c r="J42" i="21"/>
  <c r="J41" i="21"/>
  <c r="J40" i="21"/>
  <c r="J39" i="21"/>
  <c r="J38" i="21"/>
  <c r="J37" i="21"/>
  <c r="J36" i="21"/>
  <c r="J35" i="21"/>
  <c r="J34" i="21"/>
  <c r="J33" i="21"/>
  <c r="J32" i="21"/>
  <c r="J31" i="21"/>
  <c r="J30" i="21"/>
  <c r="J29" i="21"/>
  <c r="J28" i="21"/>
  <c r="J27" i="21"/>
  <c r="J26" i="21"/>
  <c r="J25" i="21"/>
  <c r="J24" i="21"/>
  <c r="J23" i="21"/>
  <c r="J22" i="21"/>
  <c r="J21" i="21"/>
  <c r="J20" i="21"/>
  <c r="J19" i="21"/>
  <c r="J18" i="21"/>
  <c r="J17" i="21"/>
  <c r="J16" i="21"/>
  <c r="J15" i="21"/>
  <c r="J14" i="21"/>
  <c r="J13" i="21"/>
  <c r="J12" i="21"/>
  <c r="J11" i="21"/>
  <c r="J10" i="21"/>
  <c r="J9" i="21"/>
  <c r="J8" i="21"/>
  <c r="J7" i="21"/>
  <c r="J6" i="21"/>
  <c r="J5" i="21"/>
  <c r="J4" i="21"/>
  <c r="J3" i="21"/>
  <c r="B133" i="20"/>
  <c r="B132" i="20"/>
  <c r="B131" i="20"/>
  <c r="B130" i="20"/>
  <c r="B129" i="20"/>
  <c r="B128" i="20"/>
  <c r="B127" i="20"/>
  <c r="B126" i="20"/>
  <c r="D110" i="20"/>
  <c r="D122" i="20" s="1"/>
  <c r="C110" i="20"/>
  <c r="C122" i="20" s="1"/>
  <c r="D109" i="20"/>
  <c r="D121" i="20" s="1"/>
  <c r="C109" i="20"/>
  <c r="C121" i="20" s="1"/>
  <c r="D108" i="20"/>
  <c r="D120" i="20" s="1"/>
  <c r="C108" i="20"/>
  <c r="C120" i="20" s="1"/>
  <c r="D107" i="20"/>
  <c r="D119" i="20" s="1"/>
  <c r="C107" i="20"/>
  <c r="C119" i="20" s="1"/>
  <c r="D106" i="20"/>
  <c r="D118" i="20" s="1"/>
  <c r="C106" i="20"/>
  <c r="C118" i="20" s="1"/>
  <c r="D105" i="20"/>
  <c r="D117" i="20" s="1"/>
  <c r="C105" i="20"/>
  <c r="C117" i="20" s="1"/>
  <c r="D104" i="20"/>
  <c r="D116" i="20" s="1"/>
  <c r="C104" i="20"/>
  <c r="C116" i="20" s="1"/>
  <c r="D103" i="20"/>
  <c r="D115" i="20" s="1"/>
  <c r="C103" i="20"/>
  <c r="C115" i="20" s="1"/>
  <c r="D102" i="20"/>
  <c r="D114" i="20" s="1"/>
  <c r="C102" i="20"/>
  <c r="C114" i="20" s="1"/>
  <c r="D101" i="20"/>
  <c r="D113" i="20" s="1"/>
  <c r="C101" i="20"/>
  <c r="C113" i="20" s="1"/>
  <c r="D100" i="20"/>
  <c r="D112" i="20" s="1"/>
  <c r="C100" i="20"/>
  <c r="C112" i="20" s="1"/>
  <c r="D99" i="20"/>
  <c r="D111" i="20" s="1"/>
  <c r="C99" i="20"/>
  <c r="C111" i="20" s="1"/>
  <c r="H92" i="20"/>
  <c r="J92" i="20" s="1"/>
  <c r="H81" i="20"/>
  <c r="H75" i="20" s="1"/>
  <c r="H76" i="20" s="1"/>
  <c r="H77" i="20" s="1"/>
  <c r="J74" i="20"/>
  <c r="J73" i="20"/>
  <c r="J72" i="20"/>
  <c r="J71" i="20"/>
  <c r="J70" i="20"/>
  <c r="J69" i="20"/>
  <c r="J68" i="20"/>
  <c r="J67" i="20"/>
  <c r="J66" i="20"/>
  <c r="J65" i="20"/>
  <c r="J64" i="20"/>
  <c r="J63" i="20"/>
  <c r="J62" i="20"/>
  <c r="J61" i="20"/>
  <c r="J60" i="20"/>
  <c r="J59" i="20"/>
  <c r="J58" i="20"/>
  <c r="J57" i="20"/>
  <c r="J56" i="20"/>
  <c r="J55" i="20"/>
  <c r="J54" i="20"/>
  <c r="J53" i="20"/>
  <c r="J52" i="20"/>
  <c r="J51" i="20"/>
  <c r="J50" i="20"/>
  <c r="J49" i="20"/>
  <c r="J48" i="20"/>
  <c r="J47" i="20"/>
  <c r="J46" i="20"/>
  <c r="J45" i="20"/>
  <c r="J44" i="20"/>
  <c r="J43" i="20"/>
  <c r="J42" i="20"/>
  <c r="J41" i="20"/>
  <c r="J40" i="20"/>
  <c r="J39" i="20"/>
  <c r="J38" i="20"/>
  <c r="J37" i="20"/>
  <c r="J36" i="20"/>
  <c r="J35" i="20"/>
  <c r="J34" i="20"/>
  <c r="J33" i="20"/>
  <c r="J32" i="20"/>
  <c r="J31" i="20"/>
  <c r="J30" i="20"/>
  <c r="J29" i="20"/>
  <c r="J28" i="20"/>
  <c r="J27" i="20"/>
  <c r="J26" i="20"/>
  <c r="J25" i="20"/>
  <c r="J24" i="20"/>
  <c r="J23" i="20"/>
  <c r="J22" i="20"/>
  <c r="J21" i="20"/>
  <c r="J20" i="20"/>
  <c r="J19" i="20"/>
  <c r="J18" i="20"/>
  <c r="J17" i="20"/>
  <c r="J16" i="20"/>
  <c r="J15" i="20"/>
  <c r="J14" i="20"/>
  <c r="J13" i="20"/>
  <c r="J12" i="20"/>
  <c r="J11" i="20"/>
  <c r="J10" i="20"/>
  <c r="J9" i="20"/>
  <c r="J8" i="20"/>
  <c r="J7" i="20"/>
  <c r="J6" i="20"/>
  <c r="J5" i="20"/>
  <c r="J4" i="20"/>
  <c r="J3" i="20"/>
  <c r="D6" i="18"/>
  <c r="F6" i="18" s="1"/>
  <c r="F55" i="11" s="1"/>
  <c r="F5" i="18"/>
  <c r="E55" i="11" s="1"/>
  <c r="E60" i="11" s="1"/>
  <c r="F4" i="18"/>
  <c r="D55" i="11" s="1"/>
  <c r="D60" i="11" s="1"/>
  <c r="F3" i="18"/>
  <c r="C55" i="11" s="1"/>
  <c r="C60" i="11" s="1"/>
  <c r="F2" i="18"/>
  <c r="B55" i="11" s="1"/>
  <c r="J55" i="17"/>
  <c r="H55" i="17"/>
  <c r="G55" i="17"/>
  <c r="G65" i="17" s="1"/>
  <c r="C55" i="17"/>
  <c r="C65" i="17" s="1"/>
  <c r="B55" i="17"/>
  <c r="B65" i="17" s="1"/>
  <c r="J54" i="17"/>
  <c r="H54" i="17"/>
  <c r="G54" i="17"/>
  <c r="G64" i="17" s="1"/>
  <c r="D54" i="17"/>
  <c r="C54" i="17"/>
  <c r="B54" i="17"/>
  <c r="I54" i="17" s="1"/>
  <c r="D53" i="17"/>
  <c r="D63" i="17" s="1"/>
  <c r="B20" i="17"/>
  <c r="B30" i="17" s="1"/>
  <c r="B32" i="17" s="1"/>
  <c r="B13" i="17" s="1"/>
  <c r="H7" i="17"/>
  <c r="F43" i="11" s="1"/>
  <c r="E7" i="17"/>
  <c r="H2" i="17"/>
  <c r="G2" i="17"/>
  <c r="E1" i="18" s="1"/>
  <c r="F2" i="17"/>
  <c r="D1" i="18" s="1"/>
  <c r="E2" i="17"/>
  <c r="C1" i="18" s="1"/>
  <c r="D2" i="17"/>
  <c r="B1" i="18" s="1"/>
  <c r="C2" i="17"/>
  <c r="B2" i="17"/>
  <c r="C146" i="26"/>
  <c r="C62" i="33" s="1"/>
  <c r="C153" i="33" s="1"/>
  <c r="D86" i="26"/>
  <c r="J19" i="26" s="1"/>
  <c r="K19" i="26" s="1"/>
  <c r="G53" i="11"/>
  <c r="G43" i="11"/>
  <c r="A42" i="11"/>
  <c r="G38" i="11"/>
  <c r="A37" i="11"/>
  <c r="G33" i="11"/>
  <c r="A32" i="11"/>
  <c r="G28" i="11"/>
  <c r="A27" i="11"/>
  <c r="G23" i="11"/>
  <c r="A22" i="11"/>
  <c r="G19" i="11"/>
  <c r="A18" i="11"/>
  <c r="G15" i="11"/>
  <c r="F15" i="11"/>
  <c r="E15" i="11"/>
  <c r="D15" i="11"/>
  <c r="C15" i="11"/>
  <c r="B15" i="11"/>
  <c r="A14" i="11"/>
  <c r="G63" i="11" l="1"/>
  <c r="H65" i="11" s="1"/>
  <c r="B137" i="20"/>
  <c r="I41" i="32"/>
  <c r="I43" i="32"/>
  <c r="J127" i="22"/>
  <c r="K127" i="22" s="1"/>
  <c r="L127" i="22" s="1"/>
  <c r="J129" i="22"/>
  <c r="K129" i="22" s="1"/>
  <c r="L129" i="22" s="1"/>
  <c r="J131" i="22"/>
  <c r="K131" i="22" s="1"/>
  <c r="L131" i="22" s="1"/>
  <c r="J128" i="20"/>
  <c r="K128" i="20" s="1"/>
  <c r="L128" i="20" s="1"/>
  <c r="J130" i="20"/>
  <c r="K130" i="20" s="1"/>
  <c r="L130" i="20" s="1"/>
  <c r="I44" i="32"/>
  <c r="C48" i="11"/>
  <c r="C58" i="11" s="1"/>
  <c r="B137" i="21"/>
  <c r="J128" i="22"/>
  <c r="K128" i="22" s="1"/>
  <c r="L128" i="22" s="1"/>
  <c r="J130" i="22"/>
  <c r="K130" i="22" s="1"/>
  <c r="L130" i="22" s="1"/>
  <c r="I47" i="32"/>
  <c r="I42" i="32"/>
  <c r="I46" i="32"/>
  <c r="J127" i="20"/>
  <c r="K127" i="20" s="1"/>
  <c r="L127" i="20" s="1"/>
  <c r="J129" i="20"/>
  <c r="K129" i="20" s="1"/>
  <c r="L129" i="20" s="1"/>
  <c r="J131" i="20"/>
  <c r="K131" i="20" s="1"/>
  <c r="L131" i="20" s="1"/>
  <c r="I48" i="32"/>
  <c r="E154" i="32"/>
  <c r="E156" i="32" s="1"/>
  <c r="B48" i="11"/>
  <c r="B58" i="11" s="1"/>
  <c r="J128" i="21"/>
  <c r="K128" i="21" s="1"/>
  <c r="L128" i="21" s="1"/>
  <c r="D21" i="18"/>
  <c r="D28" i="18" s="1"/>
  <c r="F35" i="11"/>
  <c r="F50" i="11" s="1"/>
  <c r="F60" i="11" s="1"/>
  <c r="G48" i="11"/>
  <c r="G58" i="11" s="1"/>
  <c r="E48" i="11"/>
  <c r="E58" i="11" s="1"/>
  <c r="D48" i="11"/>
  <c r="D58" i="11" s="1"/>
  <c r="L15" i="11"/>
  <c r="L63" i="11" s="1"/>
  <c r="L65" i="11" s="1"/>
  <c r="I13" i="17"/>
  <c r="L53" i="11" s="1"/>
  <c r="B14" i="17"/>
  <c r="I7" i="17"/>
  <c r="F53" i="11" s="1"/>
  <c r="F28" i="11"/>
  <c r="F48" i="11" s="1"/>
  <c r="I34" i="9"/>
  <c r="I35" i="9"/>
  <c r="B27" i="23"/>
  <c r="B28" i="23" s="1"/>
  <c r="B29" i="23" s="1"/>
  <c r="B30" i="23" s="1"/>
  <c r="B31" i="23" s="1"/>
  <c r="B32" i="23" s="1"/>
  <c r="B33" i="23" s="1"/>
  <c r="B34" i="23" s="1"/>
  <c r="B35" i="23" s="1"/>
  <c r="B36" i="23" s="1"/>
  <c r="B37" i="23" s="1"/>
  <c r="D37" i="23" s="1"/>
  <c r="C4" i="23" s="1"/>
  <c r="D4" i="23" s="1"/>
  <c r="E4" i="23" s="1"/>
  <c r="B38" i="23" s="1"/>
  <c r="B39" i="23" s="1"/>
  <c r="B40" i="23" s="1"/>
  <c r="B41" i="23" s="1"/>
  <c r="B42" i="23" s="1"/>
  <c r="B43" i="23" s="1"/>
  <c r="B44" i="23" s="1"/>
  <c r="B45" i="23" s="1"/>
  <c r="B46" i="23" s="1"/>
  <c r="B47" i="23" s="1"/>
  <c r="B48" i="23" s="1"/>
  <c r="B49" i="23" s="1"/>
  <c r="C49" i="23" s="1"/>
  <c r="F4" i="23" s="1"/>
  <c r="B60" i="11"/>
  <c r="H23" i="17"/>
  <c r="H24" i="17"/>
  <c r="E23" i="17"/>
  <c r="E24" i="17"/>
  <c r="J81" i="20"/>
  <c r="K54" i="17"/>
  <c r="J76" i="20"/>
  <c r="J75" i="20"/>
  <c r="H75" i="22"/>
  <c r="J75" i="22" s="1"/>
  <c r="H93" i="22"/>
  <c r="J93" i="22" s="1"/>
  <c r="H82" i="20"/>
  <c r="H83" i="20" s="1"/>
  <c r="J83" i="20" s="1"/>
  <c r="H82" i="22"/>
  <c r="H82" i="21"/>
  <c r="J82" i="21" s="1"/>
  <c r="I65" i="17"/>
  <c r="J92" i="21"/>
  <c r="H93" i="21"/>
  <c r="C113" i="21"/>
  <c r="J113" i="21" s="1"/>
  <c r="J126" i="21"/>
  <c r="J127" i="21"/>
  <c r="K127" i="21" s="1"/>
  <c r="L127" i="21" s="1"/>
  <c r="J129" i="21"/>
  <c r="K129" i="21" s="1"/>
  <c r="L129" i="21" s="1"/>
  <c r="J130" i="21"/>
  <c r="K130" i="21" s="1"/>
  <c r="L130" i="21" s="1"/>
  <c r="J131" i="21"/>
  <c r="K131" i="21" s="1"/>
  <c r="L131" i="21" s="1"/>
  <c r="C117" i="21"/>
  <c r="J117" i="21" s="1"/>
  <c r="H65" i="17"/>
  <c r="J126" i="20"/>
  <c r="H78" i="20"/>
  <c r="J77" i="20"/>
  <c r="C121" i="21"/>
  <c r="J121" i="21" s="1"/>
  <c r="J126" i="22"/>
  <c r="C112" i="22"/>
  <c r="J112" i="22" s="1"/>
  <c r="I55" i="17"/>
  <c r="K55" i="17" s="1"/>
  <c r="B64" i="17"/>
  <c r="H64" i="17"/>
  <c r="H93" i="20"/>
  <c r="H75" i="21"/>
  <c r="C112" i="21"/>
  <c r="J112" i="21" s="1"/>
  <c r="C116" i="21"/>
  <c r="J116" i="21" s="1"/>
  <c r="C120" i="21"/>
  <c r="J120" i="21" s="1"/>
  <c r="C114" i="22"/>
  <c r="J114" i="22" s="1"/>
  <c r="C64" i="17"/>
  <c r="C111" i="21"/>
  <c r="J111" i="21" s="1"/>
  <c r="C119" i="21"/>
  <c r="J119" i="21" s="1"/>
  <c r="D64" i="17"/>
  <c r="C114" i="21"/>
  <c r="J114" i="21" s="1"/>
  <c r="C118" i="21"/>
  <c r="J118" i="21" s="1"/>
  <c r="C122" i="21"/>
  <c r="J122" i="21" s="1"/>
  <c r="C118" i="22"/>
  <c r="J118" i="22" s="1"/>
  <c r="J110" i="22"/>
  <c r="C120" i="22"/>
  <c r="J120" i="22" s="1"/>
  <c r="C111" i="22"/>
  <c r="J111" i="22" s="1"/>
  <c r="C115" i="22"/>
  <c r="J115" i="22" s="1"/>
  <c r="C119" i="22"/>
  <c r="J119" i="22" s="1"/>
  <c r="C113" i="22"/>
  <c r="J113" i="22" s="1"/>
  <c r="C117" i="22"/>
  <c r="J117" i="22" s="1"/>
  <c r="C121" i="22"/>
  <c r="J121" i="22" s="1"/>
  <c r="E144" i="32"/>
  <c r="F140" i="32"/>
  <c r="C135" i="32"/>
  <c r="D144" i="32"/>
  <c r="F144" i="32" s="1"/>
  <c r="I50" i="32"/>
  <c r="L48" i="11" l="1"/>
  <c r="L58" i="11" s="1"/>
  <c r="H30" i="17"/>
  <c r="N62" i="33"/>
  <c r="N51" i="33" s="1"/>
  <c r="N52" i="33" s="1"/>
  <c r="N53" i="33" s="1"/>
  <c r="N54" i="33" s="1"/>
  <c r="N55" i="33" s="1"/>
  <c r="N56" i="33" s="1"/>
  <c r="N57" i="33" s="1"/>
  <c r="N58" i="33" s="1"/>
  <c r="N59" i="33" s="1"/>
  <c r="N60" i="33" s="1"/>
  <c r="N61" i="33" s="1"/>
  <c r="F58" i="11"/>
  <c r="E30" i="17"/>
  <c r="H46" i="9"/>
  <c r="O46" i="9" s="1"/>
  <c r="I14" i="17"/>
  <c r="M53" i="11" s="1"/>
  <c r="M15" i="11"/>
  <c r="D49" i="23"/>
  <c r="C5" i="23" s="1"/>
  <c r="D5" i="23" s="1"/>
  <c r="E5" i="23" s="1"/>
  <c r="B50" i="23" s="1"/>
  <c r="H76" i="22"/>
  <c r="H77" i="22" s="1"/>
  <c r="H84" i="20"/>
  <c r="J84" i="20" s="1"/>
  <c r="H94" i="22"/>
  <c r="J94" i="22" s="1"/>
  <c r="J82" i="20"/>
  <c r="J82" i="22"/>
  <c r="H83" i="22"/>
  <c r="H83" i="21"/>
  <c r="H84" i="21" s="1"/>
  <c r="C11" i="11"/>
  <c r="D175" i="32"/>
  <c r="B17" i="18"/>
  <c r="B28" i="18" s="1"/>
  <c r="B70" i="17"/>
  <c r="B75" i="17" s="1"/>
  <c r="C70" i="17"/>
  <c r="C75" i="17" s="1"/>
  <c r="C80" i="17" s="1"/>
  <c r="J135" i="21"/>
  <c r="B11" i="11"/>
  <c r="H94" i="20"/>
  <c r="J93" i="20"/>
  <c r="K126" i="22"/>
  <c r="L126" i="22" s="1"/>
  <c r="H79" i="20"/>
  <c r="J78" i="20"/>
  <c r="G70" i="17"/>
  <c r="G75" i="17" s="1"/>
  <c r="G80" i="17" s="1"/>
  <c r="H70" i="17"/>
  <c r="H75" i="17" s="1"/>
  <c r="H80" i="17" s="1"/>
  <c r="K126" i="21"/>
  <c r="L126" i="21" s="1"/>
  <c r="I64" i="17"/>
  <c r="H69" i="17" s="1"/>
  <c r="H74" i="17" s="1"/>
  <c r="H79" i="17" s="1"/>
  <c r="K126" i="20"/>
  <c r="L126" i="20" s="1"/>
  <c r="J135" i="22"/>
  <c r="H94" i="21"/>
  <c r="J93" i="21"/>
  <c r="D11" i="11"/>
  <c r="D69" i="17"/>
  <c r="D74" i="17" s="1"/>
  <c r="D79" i="17" s="1"/>
  <c r="D135" i="32"/>
  <c r="C138" i="32"/>
  <c r="H76" i="21"/>
  <c r="J75" i="21"/>
  <c r="N63" i="33" l="1"/>
  <c r="Q30" i="9"/>
  <c r="M48" i="11"/>
  <c r="O15" i="11"/>
  <c r="H47" i="9"/>
  <c r="O47" i="9" s="1"/>
  <c r="J76" i="22"/>
  <c r="M58" i="11"/>
  <c r="H85" i="20"/>
  <c r="H86" i="20" s="1"/>
  <c r="N64" i="33"/>
  <c r="N65" i="33" s="1"/>
  <c r="N66" i="33" s="1"/>
  <c r="N67" i="33" s="1"/>
  <c r="N68" i="33" s="1"/>
  <c r="N69" i="33" s="1"/>
  <c r="N70" i="33" s="1"/>
  <c r="N71" i="33" s="1"/>
  <c r="N72" i="33" s="1"/>
  <c r="N73" i="33" s="1"/>
  <c r="J83" i="21"/>
  <c r="B51" i="23"/>
  <c r="B52" i="23" s="1"/>
  <c r="B53" i="23" s="1"/>
  <c r="B54" i="23" s="1"/>
  <c r="B55" i="23" s="1"/>
  <c r="B56" i="23" s="1"/>
  <c r="B57" i="23" s="1"/>
  <c r="B58" i="23" s="1"/>
  <c r="B59" i="23" s="1"/>
  <c r="B60" i="23" s="1"/>
  <c r="B61" i="23" s="1"/>
  <c r="C37" i="23"/>
  <c r="F3" i="23" s="1"/>
  <c r="D174" i="32"/>
  <c r="D176" i="32" s="1"/>
  <c r="E11" i="11"/>
  <c r="H95" i="22"/>
  <c r="H96" i="22" s="1"/>
  <c r="J83" i="22"/>
  <c r="H84" i="22"/>
  <c r="B69" i="17"/>
  <c r="B74" i="17" s="1"/>
  <c r="B79" i="17" s="1"/>
  <c r="D165" i="32"/>
  <c r="B59" i="11"/>
  <c r="E135" i="32"/>
  <c r="F135" i="32" s="1"/>
  <c r="J94" i="21"/>
  <c r="H95" i="21"/>
  <c r="G69" i="17"/>
  <c r="G74" i="17" s="1"/>
  <c r="G79" i="17" s="1"/>
  <c r="D68" i="17"/>
  <c r="D73" i="17" s="1"/>
  <c r="D78" i="17" s="1"/>
  <c r="H80" i="20"/>
  <c r="J80" i="20" s="1"/>
  <c r="J79" i="20"/>
  <c r="J84" i="21"/>
  <c r="H85" i="21"/>
  <c r="C69" i="17"/>
  <c r="C74" i="17" s="1"/>
  <c r="C79" i="17" s="1"/>
  <c r="H95" i="20"/>
  <c r="J94" i="20"/>
  <c r="J77" i="22"/>
  <c r="H78" i="22"/>
  <c r="F11" i="11"/>
  <c r="H77" i="21"/>
  <c r="J76" i="21"/>
  <c r="B80" i="17"/>
  <c r="I75" i="17"/>
  <c r="J75" i="17" s="1"/>
  <c r="Q31" i="9" l="1"/>
  <c r="J85" i="20"/>
  <c r="D164" i="32"/>
  <c r="D166" i="32" s="1"/>
  <c r="I74" i="17"/>
  <c r="J74" i="17" s="1"/>
  <c r="J95" i="22"/>
  <c r="C61" i="23"/>
  <c r="F5" i="23" s="1"/>
  <c r="D61" i="23"/>
  <c r="C6" i="23" s="1"/>
  <c r="D6" i="23" s="1"/>
  <c r="E6" i="23" s="1"/>
  <c r="B62" i="23" s="1"/>
  <c r="J84" i="22"/>
  <c r="H85" i="22"/>
  <c r="O34" i="9"/>
  <c r="H96" i="20"/>
  <c r="J95" i="20"/>
  <c r="H78" i="21"/>
  <c r="J77" i="21"/>
  <c r="H86" i="21"/>
  <c r="J85" i="21"/>
  <c r="H87" i="20"/>
  <c r="J86" i="20"/>
  <c r="J132" i="20" s="1"/>
  <c r="D136" i="32"/>
  <c r="J96" i="22"/>
  <c r="H97" i="22"/>
  <c r="J78" i="22"/>
  <c r="H79" i="22"/>
  <c r="H96" i="21"/>
  <c r="J95" i="21"/>
  <c r="O35" i="9"/>
  <c r="B63" i="23" l="1"/>
  <c r="B64" i="23" s="1"/>
  <c r="B65" i="23" s="1"/>
  <c r="B66" i="23" s="1"/>
  <c r="B67" i="23" s="1"/>
  <c r="B68" i="23" s="1"/>
  <c r="B69" i="23" s="1"/>
  <c r="B70" i="23" s="1"/>
  <c r="B71" i="23" s="1"/>
  <c r="B72" i="23" s="1"/>
  <c r="B73" i="23" s="1"/>
  <c r="J85" i="22"/>
  <c r="H86" i="22"/>
  <c r="E136" i="32"/>
  <c r="F136" i="32" s="1"/>
  <c r="D138" i="32"/>
  <c r="J96" i="21"/>
  <c r="H97" i="21"/>
  <c r="J97" i="22"/>
  <c r="H98" i="22"/>
  <c r="K132" i="20"/>
  <c r="L132" i="20" s="1"/>
  <c r="J78" i="21"/>
  <c r="H79" i="21"/>
  <c r="M34" i="11"/>
  <c r="H88" i="20"/>
  <c r="J87" i="20"/>
  <c r="J79" i="22"/>
  <c r="H80" i="22"/>
  <c r="J80" i="22" s="1"/>
  <c r="J86" i="21"/>
  <c r="H87" i="21"/>
  <c r="H97" i="20"/>
  <c r="J96" i="20"/>
  <c r="D73" i="23" l="1"/>
  <c r="C7" i="23" s="1"/>
  <c r="D7" i="23" s="1"/>
  <c r="E7" i="23" s="1"/>
  <c r="B74" i="23" s="1"/>
  <c r="C73" i="23"/>
  <c r="F6" i="23" s="1"/>
  <c r="H87" i="22"/>
  <c r="J86" i="22"/>
  <c r="J132" i="22" s="1"/>
  <c r="K132" i="22" s="1"/>
  <c r="L132" i="22" s="1"/>
  <c r="H98" i="20"/>
  <c r="J97" i="20"/>
  <c r="H88" i="21"/>
  <c r="J87" i="21"/>
  <c r="H98" i="21"/>
  <c r="J97" i="21"/>
  <c r="H80" i="21"/>
  <c r="J80" i="21" s="1"/>
  <c r="J79" i="21"/>
  <c r="H89" i="20"/>
  <c r="J88" i="20"/>
  <c r="J98" i="22"/>
  <c r="H99" i="22"/>
  <c r="E137" i="32"/>
  <c r="F137" i="32" s="1"/>
  <c r="F138" i="32" s="1"/>
  <c r="E138" i="32"/>
  <c r="B75" i="23" l="1"/>
  <c r="M3" i="33"/>
  <c r="S3" i="33" s="1"/>
  <c r="J132" i="21"/>
  <c r="K132" i="21" s="1"/>
  <c r="L132" i="21" s="1"/>
  <c r="H88" i="22"/>
  <c r="J87" i="22"/>
  <c r="J98" i="21"/>
  <c r="H99" i="21"/>
  <c r="H100" i="22"/>
  <c r="J99" i="22"/>
  <c r="H99" i="20"/>
  <c r="J98" i="20"/>
  <c r="H90" i="20"/>
  <c r="J89" i="20"/>
  <c r="J88" i="21"/>
  <c r="H89" i="21"/>
  <c r="B76" i="23" l="1"/>
  <c r="M4" i="33"/>
  <c r="J88" i="22"/>
  <c r="H89" i="22"/>
  <c r="H100" i="20"/>
  <c r="J99" i="20"/>
  <c r="H91" i="20"/>
  <c r="J91" i="20" s="1"/>
  <c r="J90" i="20"/>
  <c r="H101" i="22"/>
  <c r="J100" i="22"/>
  <c r="H90" i="21"/>
  <c r="J89" i="21"/>
  <c r="H100" i="21"/>
  <c r="J99" i="21"/>
  <c r="S4" i="33" l="1"/>
  <c r="B77" i="23"/>
  <c r="M5" i="33"/>
  <c r="J133" i="20"/>
  <c r="K133" i="20" s="1"/>
  <c r="L133" i="20" s="1"/>
  <c r="H90" i="22"/>
  <c r="J89" i="22"/>
  <c r="H102" i="22"/>
  <c r="J101" i="22"/>
  <c r="H101" i="20"/>
  <c r="J100" i="20"/>
  <c r="J90" i="21"/>
  <c r="H91" i="21"/>
  <c r="J91" i="21" s="1"/>
  <c r="H101" i="21"/>
  <c r="J100" i="21"/>
  <c r="S5" i="33" l="1"/>
  <c r="B78" i="23"/>
  <c r="M6" i="33"/>
  <c r="J137" i="20"/>
  <c r="K137" i="20" s="1"/>
  <c r="J133" i="21"/>
  <c r="K133" i="21" s="1"/>
  <c r="L133" i="21" s="1"/>
  <c r="J90" i="22"/>
  <c r="H91" i="22"/>
  <c r="J91" i="22" s="1"/>
  <c r="H103" i="22"/>
  <c r="J102" i="22"/>
  <c r="H102" i="20"/>
  <c r="J101" i="20"/>
  <c r="H102" i="21"/>
  <c r="J101" i="21"/>
  <c r="S6" i="33" l="1"/>
  <c r="B79" i="23"/>
  <c r="M7" i="33"/>
  <c r="S7" i="33" s="1"/>
  <c r="J137" i="21"/>
  <c r="K137" i="21" s="1"/>
  <c r="J133" i="22"/>
  <c r="H103" i="21"/>
  <c r="J102" i="21"/>
  <c r="H103" i="20"/>
  <c r="J102" i="20"/>
  <c r="H104" i="22"/>
  <c r="J103" i="22"/>
  <c r="B80" i="23" l="1"/>
  <c r="M8" i="33"/>
  <c r="K133" i="22"/>
  <c r="L133" i="22" s="1"/>
  <c r="J137" i="22"/>
  <c r="K137" i="22" s="1"/>
  <c r="H105" i="22"/>
  <c r="J104" i="22"/>
  <c r="H104" i="20"/>
  <c r="J103" i="20"/>
  <c r="H104" i="21"/>
  <c r="J103" i="21"/>
  <c r="S8" i="33" l="1"/>
  <c r="B81" i="23"/>
  <c r="M9" i="33"/>
  <c r="H105" i="20"/>
  <c r="J104" i="20"/>
  <c r="H106" i="22"/>
  <c r="J105" i="22"/>
  <c r="H105" i="21"/>
  <c r="J104" i="21"/>
  <c r="S9" i="33" l="1"/>
  <c r="B82" i="23"/>
  <c r="M10" i="33"/>
  <c r="H107" i="22"/>
  <c r="J106" i="22"/>
  <c r="H106" i="21"/>
  <c r="J105" i="21"/>
  <c r="H106" i="20"/>
  <c r="J105" i="20"/>
  <c r="S10" i="33" l="1"/>
  <c r="B83" i="23"/>
  <c r="M11" i="33"/>
  <c r="H107" i="20"/>
  <c r="J106" i="20"/>
  <c r="H108" i="22"/>
  <c r="J107" i="22"/>
  <c r="H107" i="21"/>
  <c r="J106" i="21"/>
  <c r="S11" i="33" l="1"/>
  <c r="B84" i="23"/>
  <c r="M12" i="33"/>
  <c r="H108" i="20"/>
  <c r="J107" i="20"/>
  <c r="E150" i="32"/>
  <c r="E157" i="32" s="1"/>
  <c r="H108" i="21"/>
  <c r="J107" i="21"/>
  <c r="H109" i="22"/>
  <c r="J109" i="22" s="1"/>
  <c r="J108" i="22"/>
  <c r="S12" i="33" l="1"/>
  <c r="B85" i="23"/>
  <c r="M13" i="33"/>
  <c r="H109" i="20"/>
  <c r="J108" i="20"/>
  <c r="J124" i="22"/>
  <c r="J134" i="22"/>
  <c r="J139" i="22" s="1"/>
  <c r="H109" i="21"/>
  <c r="J108" i="21"/>
  <c r="S13" i="33" l="1"/>
  <c r="M14" i="33"/>
  <c r="D85" i="23"/>
  <c r="C8" i="23" s="1"/>
  <c r="D8" i="23" s="1"/>
  <c r="E8" i="23" s="1"/>
  <c r="B86" i="23" s="1"/>
  <c r="C85" i="23"/>
  <c r="F7" i="23" s="1"/>
  <c r="K139" i="22"/>
  <c r="H110" i="20"/>
  <c r="J109" i="20"/>
  <c r="H110" i="21"/>
  <c r="J110" i="21" s="1"/>
  <c r="J109" i="21"/>
  <c r="S14" i="33" l="1"/>
  <c r="M15" i="33"/>
  <c r="B87" i="23"/>
  <c r="H111" i="20"/>
  <c r="J110" i="20"/>
  <c r="J134" i="20" s="1"/>
  <c r="J124" i="21"/>
  <c r="J134" i="21"/>
  <c r="J139" i="21" s="1"/>
  <c r="S15" i="33" l="1"/>
  <c r="B88" i="23"/>
  <c r="M16" i="33"/>
  <c r="K139" i="21"/>
  <c r="H112" i="20"/>
  <c r="J111" i="20"/>
  <c r="S16" i="33" l="1"/>
  <c r="B89" i="23"/>
  <c r="M17" i="33"/>
  <c r="H113" i="20"/>
  <c r="J112" i="20"/>
  <c r="S17" i="33" l="1"/>
  <c r="B90" i="23"/>
  <c r="M18" i="33"/>
  <c r="H114" i="20"/>
  <c r="J113" i="20"/>
  <c r="S18" i="33" l="1"/>
  <c r="B91" i="23"/>
  <c r="M19" i="33"/>
  <c r="H115" i="20"/>
  <c r="J114" i="20"/>
  <c r="S19" i="33" l="1"/>
  <c r="B92" i="23"/>
  <c r="M20" i="33"/>
  <c r="H116" i="20"/>
  <c r="J115" i="20"/>
  <c r="S20" i="33" l="1"/>
  <c r="B93" i="23"/>
  <c r="M21" i="33"/>
  <c r="H117" i="20"/>
  <c r="J116" i="20"/>
  <c r="S21" i="33" l="1"/>
  <c r="B94" i="23"/>
  <c r="M22" i="33"/>
  <c r="H118" i="20"/>
  <c r="J117" i="20"/>
  <c r="S22" i="33" l="1"/>
  <c r="B95" i="23"/>
  <c r="M23" i="33"/>
  <c r="H119" i="20"/>
  <c r="J118" i="20"/>
  <c r="S23" i="33" l="1"/>
  <c r="B96" i="23"/>
  <c r="M24" i="33"/>
  <c r="H120" i="20"/>
  <c r="J119" i="20"/>
  <c r="S24" i="33" l="1"/>
  <c r="B97" i="23"/>
  <c r="M25" i="33"/>
  <c r="H121" i="20"/>
  <c r="J120" i="20"/>
  <c r="S25" i="33" l="1"/>
  <c r="M26" i="33"/>
  <c r="D97" i="23"/>
  <c r="C9" i="23" s="1"/>
  <c r="D9" i="23" s="1"/>
  <c r="E9" i="23" s="1"/>
  <c r="B98" i="23" s="1"/>
  <c r="C97" i="23"/>
  <c r="F8" i="23" s="1"/>
  <c r="H122" i="20"/>
  <c r="J122" i="20" s="1"/>
  <c r="J121" i="20"/>
  <c r="S26" i="33" l="1"/>
  <c r="B99" i="23"/>
  <c r="M27" i="33"/>
  <c r="J124" i="20"/>
  <c r="J135" i="20"/>
  <c r="J139" i="20" s="1"/>
  <c r="S27" i="33" l="1"/>
  <c r="B100" i="23"/>
  <c r="M28" i="33"/>
  <c r="K139" i="20"/>
  <c r="S28" i="33" l="1"/>
  <c r="B101" i="23"/>
  <c r="M29" i="33"/>
  <c r="F150" i="32"/>
  <c r="F157" i="32" s="1"/>
  <c r="S29" i="33" l="1"/>
  <c r="B102" i="23"/>
  <c r="M30" i="33"/>
  <c r="H40" i="11"/>
  <c r="G40" i="11"/>
  <c r="H30" i="11"/>
  <c r="G30" i="11"/>
  <c r="S30" i="33" l="1"/>
  <c r="B103" i="23"/>
  <c r="M31" i="33"/>
  <c r="H55" i="11"/>
  <c r="H25" i="11"/>
  <c r="G55" i="11"/>
  <c r="G25" i="11"/>
  <c r="G35" i="11"/>
  <c r="H35" i="11"/>
  <c r="S31" i="33" l="1"/>
  <c r="G50" i="11"/>
  <c r="G60" i="11" s="1"/>
  <c r="H50" i="11"/>
  <c r="H60" i="11" s="1"/>
  <c r="B104" i="23"/>
  <c r="M32" i="33"/>
  <c r="S32" i="33" l="1"/>
  <c r="B105" i="23"/>
  <c r="M33" i="33"/>
  <c r="S33" i="33" l="1"/>
  <c r="B106" i="23"/>
  <c r="M34" i="33"/>
  <c r="S34" i="33" l="1"/>
  <c r="B107" i="23"/>
  <c r="M35" i="33"/>
  <c r="S35" i="33" l="1"/>
  <c r="B108" i="23"/>
  <c r="M36" i="33"/>
  <c r="S36" i="33" l="1"/>
  <c r="B109" i="23"/>
  <c r="M37" i="33"/>
  <c r="S37" i="33" l="1"/>
  <c r="M38" i="33"/>
  <c r="D109" i="23"/>
  <c r="C10" i="23" s="1"/>
  <c r="D10" i="23" s="1"/>
  <c r="E10" i="23" s="1"/>
  <c r="B110" i="23" s="1"/>
  <c r="C109" i="23"/>
  <c r="F9" i="23" s="1"/>
  <c r="S38" i="33" l="1"/>
  <c r="M39" i="33"/>
  <c r="B111" i="23"/>
  <c r="S39" i="33" l="1"/>
  <c r="B112" i="23"/>
  <c r="M40" i="33"/>
  <c r="S40" i="33" l="1"/>
  <c r="B113" i="23"/>
  <c r="M41" i="33"/>
  <c r="S41" i="33" l="1"/>
  <c r="B114" i="23"/>
  <c r="M42" i="33"/>
  <c r="S42" i="33" l="1"/>
  <c r="B115" i="23"/>
  <c r="M43" i="33"/>
  <c r="S43" i="33" l="1"/>
  <c r="B116" i="23"/>
  <c r="M44" i="33"/>
  <c r="S44" i="33" l="1"/>
  <c r="B117" i="23"/>
  <c r="M45" i="33"/>
  <c r="S45" i="33" l="1"/>
  <c r="B118" i="23"/>
  <c r="M46" i="33"/>
  <c r="S46" i="33" l="1"/>
  <c r="B119" i="23"/>
  <c r="M47" i="33"/>
  <c r="S47" i="33" l="1"/>
  <c r="B120" i="23"/>
  <c r="M48" i="33"/>
  <c r="S48" i="33" l="1"/>
  <c r="B121" i="23"/>
  <c r="M49" i="33"/>
  <c r="S49" i="33" l="1"/>
  <c r="M50" i="33"/>
  <c r="D121" i="23"/>
  <c r="C11" i="23" s="1"/>
  <c r="D11" i="23" s="1"/>
  <c r="E11" i="23" s="1"/>
  <c r="B122" i="23" s="1"/>
  <c r="C121" i="23"/>
  <c r="F10" i="23" s="1"/>
  <c r="S50" i="33" l="1"/>
  <c r="M51" i="33"/>
  <c r="B123" i="23"/>
  <c r="S51" i="33" l="1"/>
  <c r="B124" i="23"/>
  <c r="M52" i="33"/>
  <c r="S52" i="33" l="1"/>
  <c r="B125" i="23"/>
  <c r="M53" i="33"/>
  <c r="S53" i="33" l="1"/>
  <c r="B126" i="23"/>
  <c r="M54" i="33"/>
  <c r="S54" i="33" l="1"/>
  <c r="B127" i="23"/>
  <c r="M55" i="33"/>
  <c r="S55" i="33" l="1"/>
  <c r="B128" i="23"/>
  <c r="M56" i="33"/>
  <c r="S56" i="33" l="1"/>
  <c r="B129" i="23"/>
  <c r="M57" i="33"/>
  <c r="S57" i="33" l="1"/>
  <c r="B130" i="23"/>
  <c r="M58" i="33"/>
  <c r="S58" i="33" l="1"/>
  <c r="B131" i="23"/>
  <c r="M59" i="33"/>
  <c r="S59" i="33" l="1"/>
  <c r="B132" i="23"/>
  <c r="M60" i="33"/>
  <c r="S60" i="33" l="1"/>
  <c r="B133" i="23"/>
  <c r="M61" i="33"/>
  <c r="S61" i="33" l="1"/>
  <c r="M62" i="33"/>
  <c r="D133" i="23"/>
  <c r="C12" i="23" s="1"/>
  <c r="D12" i="23" s="1"/>
  <c r="E12" i="23" s="1"/>
  <c r="B134" i="23" s="1"/>
  <c r="C133" i="23"/>
  <c r="F11" i="23" s="1"/>
  <c r="S62" i="33" l="1"/>
  <c r="M63" i="33"/>
  <c r="B135" i="23"/>
  <c r="S63" i="33" l="1"/>
  <c r="B136" i="23"/>
  <c r="M64" i="33"/>
  <c r="S64" i="33" l="1"/>
  <c r="B137" i="23"/>
  <c r="M65" i="33"/>
  <c r="S65" i="33" l="1"/>
  <c r="B138" i="23"/>
  <c r="M66" i="33"/>
  <c r="S66" i="33" l="1"/>
  <c r="B139" i="23"/>
  <c r="M67" i="33"/>
  <c r="S67" i="33" l="1"/>
  <c r="B140" i="23"/>
  <c r="M68" i="33"/>
  <c r="S68" i="33" l="1"/>
  <c r="B141" i="23"/>
  <c r="M69" i="33"/>
  <c r="S69" i="33" l="1"/>
  <c r="B142" i="23"/>
  <c r="M70" i="33"/>
  <c r="S70" i="33" l="1"/>
  <c r="B143" i="23"/>
  <c r="M71" i="33"/>
  <c r="S71" i="33" l="1"/>
  <c r="B144" i="23"/>
  <c r="M72" i="33"/>
  <c r="S72" i="33" l="1"/>
  <c r="B145" i="23"/>
  <c r="M73" i="33"/>
  <c r="S73" i="33" l="1"/>
  <c r="D145" i="23"/>
  <c r="C13" i="23" s="1"/>
  <c r="D13" i="23" s="1"/>
  <c r="E13" i="23" s="1"/>
  <c r="B146" i="23" s="1"/>
  <c r="M74" i="33"/>
  <c r="C145" i="23"/>
  <c r="F12" i="23" s="1"/>
  <c r="S74" i="33" l="1"/>
  <c r="M75" i="33"/>
  <c r="B147" i="23"/>
  <c r="S75" i="33" l="1"/>
  <c r="B148" i="23"/>
  <c r="M76" i="33"/>
  <c r="S76" i="33" l="1"/>
  <c r="B149" i="23"/>
  <c r="M77" i="33"/>
  <c r="S77" i="33" l="1"/>
  <c r="B150" i="23"/>
  <c r="M78" i="33"/>
  <c r="S78" i="33" l="1"/>
  <c r="B151" i="23"/>
  <c r="M79" i="33"/>
  <c r="S79" i="33" l="1"/>
  <c r="B152" i="23"/>
  <c r="M80" i="33"/>
  <c r="S80" i="33" l="1"/>
  <c r="B153" i="23"/>
  <c r="M81" i="33"/>
  <c r="S81" i="33" l="1"/>
  <c r="B154" i="23"/>
  <c r="M82" i="33"/>
  <c r="S82" i="33" l="1"/>
  <c r="B155" i="23"/>
  <c r="M83" i="33"/>
  <c r="S83" i="33" l="1"/>
  <c r="B156" i="23"/>
  <c r="M84" i="33"/>
  <c r="S84" i="33" l="1"/>
  <c r="B157" i="23"/>
  <c r="M85" i="33"/>
  <c r="S85" i="33" l="1"/>
  <c r="M86" i="33"/>
  <c r="D157" i="23"/>
  <c r="C14" i="23" s="1"/>
  <c r="D14" i="23" s="1"/>
  <c r="E14" i="23" s="1"/>
  <c r="B158" i="23" s="1"/>
  <c r="C157" i="23"/>
  <c r="F13" i="23" s="1"/>
  <c r="S86" i="33" l="1"/>
  <c r="M87" i="33"/>
  <c r="B159" i="23"/>
  <c r="S87" i="33" l="1"/>
  <c r="B160" i="23"/>
  <c r="M88" i="33"/>
  <c r="S88" i="33" l="1"/>
  <c r="B161" i="23"/>
  <c r="M89" i="33"/>
  <c r="S89" i="33" l="1"/>
  <c r="B162" i="23"/>
  <c r="M90" i="33"/>
  <c r="S90" i="33" l="1"/>
  <c r="B163" i="23"/>
  <c r="M91" i="33"/>
  <c r="S91" i="33" l="1"/>
  <c r="B164" i="23"/>
  <c r="M92" i="33"/>
  <c r="S92" i="33" l="1"/>
  <c r="B165" i="23"/>
  <c r="M93" i="33"/>
  <c r="S93" i="33" l="1"/>
  <c r="B166" i="23"/>
  <c r="M94" i="33"/>
  <c r="S94" i="33" l="1"/>
  <c r="B167" i="23"/>
  <c r="M95" i="33"/>
  <c r="S95" i="33" l="1"/>
  <c r="B168" i="23"/>
  <c r="M96" i="33"/>
  <c r="S96" i="33" l="1"/>
  <c r="B169" i="23"/>
  <c r="M97" i="33"/>
  <c r="S97" i="33" l="1"/>
  <c r="C169" i="23"/>
  <c r="F14" i="23" s="1"/>
  <c r="M98" i="33"/>
  <c r="D169" i="23"/>
  <c r="C15" i="23" s="1"/>
  <c r="D15" i="23" s="1"/>
  <c r="E15" i="23" s="1"/>
  <c r="B170" i="23" s="1"/>
  <c r="S98" i="33" l="1"/>
  <c r="M99" i="33"/>
  <c r="B171" i="23"/>
  <c r="S99" i="33" l="1"/>
  <c r="B172" i="23"/>
  <c r="M100" i="33"/>
  <c r="S100" i="33" l="1"/>
  <c r="B173" i="23"/>
  <c r="M101" i="33"/>
  <c r="S101" i="33" l="1"/>
  <c r="B174" i="23"/>
  <c r="M102" i="33"/>
  <c r="S102" i="33" l="1"/>
  <c r="B175" i="23"/>
  <c r="M103" i="33"/>
  <c r="S103" i="33" l="1"/>
  <c r="B176" i="23"/>
  <c r="M104" i="33"/>
  <c r="S104" i="33" l="1"/>
  <c r="B177" i="23"/>
  <c r="M105" i="33"/>
  <c r="S105" i="33" l="1"/>
  <c r="B178" i="23"/>
  <c r="M106" i="33"/>
  <c r="S106" i="33" l="1"/>
  <c r="B179" i="23"/>
  <c r="M107" i="33"/>
  <c r="S107" i="33" l="1"/>
  <c r="B180" i="23"/>
  <c r="M108" i="33"/>
  <c r="S108" i="33" l="1"/>
  <c r="B181" i="23"/>
  <c r="M109" i="33"/>
  <c r="S109" i="33" l="1"/>
  <c r="M110" i="33"/>
  <c r="D181" i="23"/>
  <c r="C16" i="23" s="1"/>
  <c r="D16" i="23" s="1"/>
  <c r="E16" i="23" s="1"/>
  <c r="B182" i="23" s="1"/>
  <c r="C181" i="23"/>
  <c r="F15" i="23" s="1"/>
  <c r="S110" i="33" l="1"/>
  <c r="M111" i="33"/>
  <c r="B183" i="23"/>
  <c r="S111" i="33" l="1"/>
  <c r="B184" i="23"/>
  <c r="M112" i="33"/>
  <c r="S112" i="33" l="1"/>
  <c r="B185" i="23"/>
  <c r="M113" i="33"/>
  <c r="S113" i="33" l="1"/>
  <c r="B186" i="23"/>
  <c r="M114" i="33"/>
  <c r="S114" i="33" l="1"/>
  <c r="B187" i="23"/>
  <c r="M115" i="33"/>
  <c r="S115" i="33" l="1"/>
  <c r="B188" i="23"/>
  <c r="M116" i="33"/>
  <c r="S116" i="33" l="1"/>
  <c r="B189" i="23"/>
  <c r="M117" i="33"/>
  <c r="S117" i="33" l="1"/>
  <c r="B190" i="23"/>
  <c r="M118" i="33"/>
  <c r="S118" i="33" l="1"/>
  <c r="B191" i="23"/>
  <c r="M119" i="33"/>
  <c r="S119" i="33" l="1"/>
  <c r="B192" i="23"/>
  <c r="M120" i="33"/>
  <c r="S120" i="33" l="1"/>
  <c r="B193" i="23"/>
  <c r="M121" i="33"/>
  <c r="S121" i="33" l="1"/>
  <c r="M122" i="33"/>
  <c r="D193" i="23"/>
  <c r="C17" i="23" s="1"/>
  <c r="D17" i="23" s="1"/>
  <c r="E17" i="23" s="1"/>
  <c r="B194" i="23" s="1"/>
  <c r="C193" i="23"/>
  <c r="F16" i="23" s="1"/>
  <c r="S122" i="33" l="1"/>
  <c r="M123" i="33"/>
  <c r="S123" i="33" s="1"/>
  <c r="B195" i="23"/>
  <c r="B196" i="23" l="1"/>
  <c r="M124" i="33"/>
  <c r="S124" i="33" s="1"/>
  <c r="B197" i="23" l="1"/>
  <c r="M125" i="33"/>
  <c r="S125" i="33" s="1"/>
  <c r="B198" i="23" l="1"/>
  <c r="M126" i="33"/>
  <c r="S126" i="33" s="1"/>
  <c r="B199" i="23" l="1"/>
  <c r="M127" i="33"/>
  <c r="S127" i="33" s="1"/>
  <c r="B200" i="23" l="1"/>
  <c r="M128" i="33"/>
  <c r="S128" i="33" s="1"/>
  <c r="B201" i="23" l="1"/>
  <c r="M129" i="33"/>
  <c r="S129" i="33" s="1"/>
  <c r="B202" i="23" l="1"/>
  <c r="M130" i="33"/>
  <c r="S130" i="33" s="1"/>
  <c r="B203" i="23" l="1"/>
  <c r="M131" i="33"/>
  <c r="S131" i="33" s="1"/>
  <c r="B204" i="23" l="1"/>
  <c r="M132" i="33"/>
  <c r="S132" i="33" s="1"/>
  <c r="B205" i="23" l="1"/>
  <c r="M133" i="33"/>
  <c r="S133" i="33" s="1"/>
  <c r="M134" i="33" l="1"/>
  <c r="S134" i="33" s="1"/>
  <c r="D205" i="23"/>
  <c r="C18" i="23" s="1"/>
  <c r="D18" i="23" s="1"/>
  <c r="E18" i="23" s="1"/>
  <c r="B206" i="23" s="1"/>
  <c r="C205" i="23"/>
  <c r="F17" i="23" s="1"/>
  <c r="M135" i="33" l="1"/>
  <c r="B207" i="23"/>
  <c r="B208" i="23" l="1"/>
  <c r="M136" i="33"/>
  <c r="M169" i="33"/>
  <c r="S169" i="33" s="1"/>
  <c r="S135" i="33"/>
  <c r="M170" i="33" l="1"/>
  <c r="S170" i="33" s="1"/>
  <c r="S136" i="33"/>
  <c r="B209" i="23"/>
  <c r="M137" i="33"/>
  <c r="M171" i="33" l="1"/>
  <c r="S171" i="33" s="1"/>
  <c r="S137" i="33"/>
  <c r="B210" i="23"/>
  <c r="M138" i="33"/>
  <c r="B211" i="23" l="1"/>
  <c r="M139" i="33"/>
  <c r="M172" i="33"/>
  <c r="S172" i="33" s="1"/>
  <c r="S138" i="33"/>
  <c r="B212" i="23" l="1"/>
  <c r="M140" i="33"/>
  <c r="M173" i="33"/>
  <c r="S173" i="33" s="1"/>
  <c r="S139" i="33"/>
  <c r="M174" i="33" l="1"/>
  <c r="S174" i="33" s="1"/>
  <c r="S140" i="33"/>
  <c r="B213" i="23"/>
  <c r="M141" i="33"/>
  <c r="M175" i="33" l="1"/>
  <c r="S175" i="33" s="1"/>
  <c r="S141" i="33"/>
  <c r="B214" i="23"/>
  <c r="M142" i="33"/>
  <c r="M176" i="33" l="1"/>
  <c r="S176" i="33" s="1"/>
  <c r="S142" i="33"/>
  <c r="B215" i="23"/>
  <c r="M143" i="33"/>
  <c r="M177" i="33" l="1"/>
  <c r="S177" i="33" s="1"/>
  <c r="S143" i="33"/>
  <c r="B216" i="23"/>
  <c r="M144" i="33"/>
  <c r="B217" i="23" l="1"/>
  <c r="M145" i="33"/>
  <c r="M178" i="33"/>
  <c r="S178" i="33" s="1"/>
  <c r="S144" i="33"/>
  <c r="M179" i="33" l="1"/>
  <c r="S179" i="33" s="1"/>
  <c r="S145" i="33"/>
  <c r="D217" i="23"/>
  <c r="M146" i="33"/>
  <c r="S146" i="33" s="1"/>
  <c r="B218" i="23"/>
  <c r="C217" i="23"/>
  <c r="F18" i="23" s="1"/>
  <c r="S149" i="33" l="1"/>
  <c r="S150" i="33"/>
  <c r="S151" i="33"/>
  <c r="S152" i="33"/>
  <c r="S153" i="33"/>
  <c r="S154" i="33"/>
  <c r="S155" i="33"/>
  <c r="S156" i="33"/>
  <c r="S157" i="33"/>
  <c r="S158" i="33"/>
  <c r="S159" i="33"/>
  <c r="S160" i="33"/>
  <c r="M180" i="33"/>
  <c r="S180" i="33" s="1"/>
  <c r="T180" i="33" s="1"/>
  <c r="F5" i="11" l="1"/>
  <c r="C7" i="9"/>
  <c r="C6" i="9"/>
  <c r="E5" i="11"/>
  <c r="C5" i="9"/>
  <c r="D5" i="11"/>
  <c r="C4" i="9"/>
  <c r="C5" i="11"/>
  <c r="C3" i="9"/>
  <c r="B5" i="11"/>
  <c r="J5" i="11"/>
  <c r="C11" i="9"/>
  <c r="C10" i="9"/>
  <c r="I5" i="11"/>
  <c r="C13" i="9"/>
  <c r="L5" i="11"/>
  <c r="C9" i="9"/>
  <c r="H5" i="11"/>
  <c r="C12" i="9"/>
  <c r="K5" i="11"/>
  <c r="S162" i="33"/>
  <c r="C8" i="9"/>
  <c r="G5" i="11"/>
  <c r="S147" i="33"/>
  <c r="C14" i="9" l="1"/>
  <c r="M5" i="11"/>
  <c r="S164" i="33"/>
  <c r="T164" i="33" s="1"/>
  <c r="D87" i="26" l="1"/>
  <c r="D88" i="26"/>
  <c r="D4" i="33" s="1"/>
  <c r="E4" i="33" s="1"/>
  <c r="T4" i="33" s="1"/>
  <c r="D89" i="26"/>
  <c r="D5" i="33" s="1"/>
  <c r="E5" i="33" s="1"/>
  <c r="T5" i="33" s="1"/>
  <c r="D90" i="26"/>
  <c r="D6" i="33" s="1"/>
  <c r="E6" i="33" s="1"/>
  <c r="T6" i="33" s="1"/>
  <c r="D91" i="26"/>
  <c r="D92" i="26"/>
  <c r="D8" i="33" s="1"/>
  <c r="E8" i="33" s="1"/>
  <c r="T8" i="33" s="1"/>
  <c r="D93" i="26"/>
  <c r="D9" i="33" s="1"/>
  <c r="E9" i="33" s="1"/>
  <c r="T9" i="33" s="1"/>
  <c r="D94" i="26"/>
  <c r="D10" i="33" s="1"/>
  <c r="E10" i="33" s="1"/>
  <c r="T10" i="33" s="1"/>
  <c r="D95" i="26"/>
  <c r="D96" i="26"/>
  <c r="D12" i="33" s="1"/>
  <c r="E12" i="33" s="1"/>
  <c r="T12" i="33" s="1"/>
  <c r="D97" i="26"/>
  <c r="D13" i="33" s="1"/>
  <c r="E13" i="33" s="1"/>
  <c r="T13" i="33" s="1"/>
  <c r="D98" i="26"/>
  <c r="D14" i="33" s="1"/>
  <c r="E14" i="33" s="1"/>
  <c r="T14" i="33" s="1"/>
  <c r="D99" i="26"/>
  <c r="D100" i="26"/>
  <c r="D16" i="33" s="1"/>
  <c r="E16" i="33" s="1"/>
  <c r="T16" i="33" s="1"/>
  <c r="D101" i="26"/>
  <c r="D17" i="33" s="1"/>
  <c r="E17" i="33" s="1"/>
  <c r="T17" i="33" s="1"/>
  <c r="D102" i="26"/>
  <c r="D18" i="33" s="1"/>
  <c r="E18" i="33" s="1"/>
  <c r="T18" i="33" s="1"/>
  <c r="D103" i="26"/>
  <c r="D104" i="26"/>
  <c r="D20" i="33" s="1"/>
  <c r="E20" i="33" s="1"/>
  <c r="T20" i="33" s="1"/>
  <c r="D105" i="26"/>
  <c r="D21" i="33" s="1"/>
  <c r="E21" i="33" s="1"/>
  <c r="T21" i="33" s="1"/>
  <c r="D106" i="26"/>
  <c r="D22" i="33" s="1"/>
  <c r="E22" i="33" s="1"/>
  <c r="T22" i="33" s="1"/>
  <c r="D107" i="26"/>
  <c r="D108" i="26"/>
  <c r="D24" i="33" s="1"/>
  <c r="E24" i="33" s="1"/>
  <c r="T24" i="33" s="1"/>
  <c r="D109" i="26"/>
  <c r="D25" i="33" s="1"/>
  <c r="E25" i="33" s="1"/>
  <c r="T25" i="33" s="1"/>
  <c r="D110" i="26"/>
  <c r="D26" i="33" s="1"/>
  <c r="E26" i="33" s="1"/>
  <c r="T26" i="33" s="1"/>
  <c r="D111" i="26"/>
  <c r="D112" i="26"/>
  <c r="D28" i="33" s="1"/>
  <c r="E28" i="33" s="1"/>
  <c r="T28" i="33" s="1"/>
  <c r="D113" i="26"/>
  <c r="D29" i="33" s="1"/>
  <c r="E29" i="33" s="1"/>
  <c r="T29" i="33" s="1"/>
  <c r="D114" i="26"/>
  <c r="D30" i="33" s="1"/>
  <c r="E30" i="33" s="1"/>
  <c r="T30" i="33" s="1"/>
  <c r="D115" i="26"/>
  <c r="D31" i="33" s="1"/>
  <c r="E31" i="33" s="1"/>
  <c r="T31" i="33" s="1"/>
  <c r="D116" i="26"/>
  <c r="D32" i="33" s="1"/>
  <c r="E32" i="33" s="1"/>
  <c r="T32" i="33" s="1"/>
  <c r="D117" i="26"/>
  <c r="D33" i="33" s="1"/>
  <c r="E33" i="33" s="1"/>
  <c r="T33" i="33" s="1"/>
  <c r="D118" i="26"/>
  <c r="D34" i="33" s="1"/>
  <c r="E34" i="33" s="1"/>
  <c r="T34" i="33" s="1"/>
  <c r="D119" i="26"/>
  <c r="D120" i="26"/>
  <c r="D36" i="33" s="1"/>
  <c r="E36" i="33" s="1"/>
  <c r="T36" i="33" s="1"/>
  <c r="D121" i="26"/>
  <c r="D37" i="33" s="1"/>
  <c r="E37" i="33" s="1"/>
  <c r="T37" i="33" s="1"/>
  <c r="D122" i="26"/>
  <c r="D38" i="33" s="1"/>
  <c r="E38" i="33" s="1"/>
  <c r="T38" i="33" s="1"/>
  <c r="D123" i="26"/>
  <c r="J23" i="26" s="1"/>
  <c r="K23" i="26" s="1"/>
  <c r="D124" i="26"/>
  <c r="D40" i="33" s="1"/>
  <c r="E40" i="33" s="1"/>
  <c r="T40" i="33" s="1"/>
  <c r="D125" i="26"/>
  <c r="D41" i="33" s="1"/>
  <c r="E41" i="33" s="1"/>
  <c r="T41" i="33" s="1"/>
  <c r="D126" i="26"/>
  <c r="D42" i="33" s="1"/>
  <c r="E42" i="33" s="1"/>
  <c r="T42" i="33" s="1"/>
  <c r="D127" i="26"/>
  <c r="D43" i="33" s="1"/>
  <c r="E43" i="33" s="1"/>
  <c r="T43" i="33" s="1"/>
  <c r="D128" i="26"/>
  <c r="D44" i="33" s="1"/>
  <c r="E44" i="33" s="1"/>
  <c r="T44" i="33" s="1"/>
  <c r="D129" i="26"/>
  <c r="D45" i="33" s="1"/>
  <c r="E45" i="33" s="1"/>
  <c r="T45" i="33" s="1"/>
  <c r="D130" i="26"/>
  <c r="D46" i="33" s="1"/>
  <c r="E46" i="33" s="1"/>
  <c r="T46" i="33" s="1"/>
  <c r="D131" i="26"/>
  <c r="D47" i="33" s="1"/>
  <c r="E47" i="33" s="1"/>
  <c r="T47" i="33" s="1"/>
  <c r="D132" i="26"/>
  <c r="D48" i="33" s="1"/>
  <c r="E48" i="33" s="1"/>
  <c r="T48" i="33" s="1"/>
  <c r="D133" i="26"/>
  <c r="D49" i="33" s="1"/>
  <c r="E49" i="33" s="1"/>
  <c r="T49" i="33" s="1"/>
  <c r="D134" i="26"/>
  <c r="D50" i="33" s="1"/>
  <c r="E50" i="33" s="1"/>
  <c r="T50" i="33" s="1"/>
  <c r="D135" i="26"/>
  <c r="J24" i="26" s="1"/>
  <c r="K24" i="26" s="1"/>
  <c r="D136" i="26"/>
  <c r="D52" i="33" s="1"/>
  <c r="E52" i="33" s="1"/>
  <c r="T52" i="33" s="1"/>
  <c r="D137" i="26"/>
  <c r="D53" i="33" s="1"/>
  <c r="E53" i="33" s="1"/>
  <c r="T53" i="33" s="1"/>
  <c r="D138" i="26"/>
  <c r="D54" i="33" s="1"/>
  <c r="E54" i="33" s="1"/>
  <c r="T54" i="33" s="1"/>
  <c r="D139" i="26"/>
  <c r="D55" i="33" s="1"/>
  <c r="E55" i="33" s="1"/>
  <c r="T55" i="33" s="1"/>
  <c r="D140" i="26"/>
  <c r="D56" i="33" s="1"/>
  <c r="E56" i="33" s="1"/>
  <c r="T56" i="33" s="1"/>
  <c r="D141" i="26"/>
  <c r="D57" i="33" s="1"/>
  <c r="E57" i="33" s="1"/>
  <c r="T57" i="33" s="1"/>
  <c r="D142" i="26"/>
  <c r="D58" i="33" s="1"/>
  <c r="E58" i="33" s="1"/>
  <c r="T58" i="33" s="1"/>
  <c r="D143" i="26"/>
  <c r="D144" i="26"/>
  <c r="D60" i="33" s="1"/>
  <c r="E60" i="33" s="1"/>
  <c r="T60" i="33" s="1"/>
  <c r="D145" i="26"/>
  <c r="D61" i="33" s="1"/>
  <c r="E61" i="33" s="1"/>
  <c r="T61" i="33" s="1"/>
  <c r="D146" i="26"/>
  <c r="D62" i="33" s="1"/>
  <c r="E62" i="33" s="1"/>
  <c r="T62" i="33" s="1"/>
  <c r="D147" i="26"/>
  <c r="J25" i="26" s="1"/>
  <c r="K25" i="26" s="1"/>
  <c r="D148" i="26"/>
  <c r="D64" i="33" s="1"/>
  <c r="E64" i="33" s="1"/>
  <c r="T64" i="33" s="1"/>
  <c r="D149" i="26"/>
  <c r="D65" i="33" s="1"/>
  <c r="E65" i="33" s="1"/>
  <c r="T65" i="33" s="1"/>
  <c r="D150" i="26"/>
  <c r="D66" i="33" s="1"/>
  <c r="E66" i="33" s="1"/>
  <c r="T66" i="33" s="1"/>
  <c r="D151" i="26"/>
  <c r="D67" i="33" s="1"/>
  <c r="E67" i="33" s="1"/>
  <c r="T67" i="33" s="1"/>
  <c r="D152" i="26"/>
  <c r="D68" i="33" s="1"/>
  <c r="E68" i="33" s="1"/>
  <c r="T68" i="33" s="1"/>
  <c r="D153" i="26"/>
  <c r="D69" i="33" s="1"/>
  <c r="E69" i="33" s="1"/>
  <c r="T69" i="33" s="1"/>
  <c r="D154" i="26"/>
  <c r="D70" i="33" s="1"/>
  <c r="E70" i="33" s="1"/>
  <c r="T70" i="33" s="1"/>
  <c r="D155" i="26"/>
  <c r="D71" i="33" s="1"/>
  <c r="E71" i="33" s="1"/>
  <c r="T71" i="33" s="1"/>
  <c r="D156" i="26"/>
  <c r="D72" i="33" s="1"/>
  <c r="E72" i="33" s="1"/>
  <c r="T72" i="33" s="1"/>
  <c r="D157" i="26"/>
  <c r="D73" i="33" s="1"/>
  <c r="E73" i="33" s="1"/>
  <c r="T73" i="33" s="1"/>
  <c r="D158" i="26"/>
  <c r="D74" i="33" s="1"/>
  <c r="E74" i="33" s="1"/>
  <c r="T74" i="33" s="1"/>
  <c r="D159" i="26"/>
  <c r="J26" i="26" s="1"/>
  <c r="K26" i="26" s="1"/>
  <c r="D160" i="26"/>
  <c r="D76" i="33" s="1"/>
  <c r="E76" i="33" s="1"/>
  <c r="T76" i="33" s="1"/>
  <c r="D161" i="26"/>
  <c r="D77" i="33" s="1"/>
  <c r="E77" i="33" s="1"/>
  <c r="T77" i="33" s="1"/>
  <c r="D162" i="26"/>
  <c r="D78" i="33" s="1"/>
  <c r="E78" i="33" s="1"/>
  <c r="T78" i="33" s="1"/>
  <c r="D163" i="26"/>
  <c r="D164" i="26"/>
  <c r="D80" i="33" s="1"/>
  <c r="E80" i="33" s="1"/>
  <c r="T80" i="33" s="1"/>
  <c r="D165" i="26"/>
  <c r="D81" i="33" s="1"/>
  <c r="E81" i="33" s="1"/>
  <c r="T81" i="33" s="1"/>
  <c r="D166" i="26"/>
  <c r="D82" i="33" s="1"/>
  <c r="E82" i="33" s="1"/>
  <c r="T82" i="33" s="1"/>
  <c r="D167" i="26"/>
  <c r="D83" i="33" s="1"/>
  <c r="E83" i="33" s="1"/>
  <c r="T83" i="33" s="1"/>
  <c r="D168" i="26"/>
  <c r="D84" i="33" s="1"/>
  <c r="E84" i="33" s="1"/>
  <c r="T84" i="33" s="1"/>
  <c r="D169" i="26"/>
  <c r="D85" i="33" s="1"/>
  <c r="E85" i="33" s="1"/>
  <c r="T85" i="33" s="1"/>
  <c r="D170" i="26"/>
  <c r="D86" i="33" s="1"/>
  <c r="E86" i="33" s="1"/>
  <c r="T86" i="33" s="1"/>
  <c r="D171" i="26"/>
  <c r="J27" i="26" s="1"/>
  <c r="K27" i="26" s="1"/>
  <c r="D172" i="26"/>
  <c r="D88" i="33" s="1"/>
  <c r="E88" i="33" s="1"/>
  <c r="T88" i="33" s="1"/>
  <c r="D173" i="26"/>
  <c r="D89" i="33" s="1"/>
  <c r="E89" i="33" s="1"/>
  <c r="T89" i="33" s="1"/>
  <c r="D174" i="26"/>
  <c r="D90" i="33" s="1"/>
  <c r="E90" i="33" s="1"/>
  <c r="T90" i="33" s="1"/>
  <c r="D175" i="26"/>
  <c r="D91" i="33" s="1"/>
  <c r="E91" i="33" s="1"/>
  <c r="T91" i="33" s="1"/>
  <c r="D176" i="26"/>
  <c r="D92" i="33" s="1"/>
  <c r="E92" i="33" s="1"/>
  <c r="T92" i="33" s="1"/>
  <c r="D177" i="26"/>
  <c r="D93" i="33" s="1"/>
  <c r="E93" i="33" s="1"/>
  <c r="T93" i="33" s="1"/>
  <c r="D178" i="26"/>
  <c r="D94" i="33" s="1"/>
  <c r="E94" i="33" s="1"/>
  <c r="T94" i="33" s="1"/>
  <c r="D179" i="26"/>
  <c r="D95" i="33" s="1"/>
  <c r="E95" i="33" s="1"/>
  <c r="T95" i="33" s="1"/>
  <c r="D180" i="26"/>
  <c r="D96" i="33" s="1"/>
  <c r="E96" i="33" s="1"/>
  <c r="T96" i="33" s="1"/>
  <c r="D181" i="26"/>
  <c r="D97" i="33" s="1"/>
  <c r="E97" i="33" s="1"/>
  <c r="T97" i="33" s="1"/>
  <c r="D182" i="26"/>
  <c r="D98" i="33" s="1"/>
  <c r="E98" i="33" s="1"/>
  <c r="T98" i="33" s="1"/>
  <c r="D183" i="26"/>
  <c r="J28" i="26" s="1"/>
  <c r="K28" i="26" s="1"/>
  <c r="D184" i="26"/>
  <c r="D100" i="33" s="1"/>
  <c r="E100" i="33" s="1"/>
  <c r="T100" i="33" s="1"/>
  <c r="D185" i="26"/>
  <c r="D101" i="33" s="1"/>
  <c r="E101" i="33" s="1"/>
  <c r="T101" i="33" s="1"/>
  <c r="D186" i="26"/>
  <c r="D102" i="33" s="1"/>
  <c r="E102" i="33" s="1"/>
  <c r="T102" i="33" s="1"/>
  <c r="D187" i="26"/>
  <c r="D188" i="26"/>
  <c r="D104" i="33" s="1"/>
  <c r="E104" i="33" s="1"/>
  <c r="T104" i="33" s="1"/>
  <c r="D189" i="26"/>
  <c r="D105" i="33" s="1"/>
  <c r="E105" i="33" s="1"/>
  <c r="T105" i="33" s="1"/>
  <c r="D190" i="26"/>
  <c r="D106" i="33" s="1"/>
  <c r="E106" i="33" s="1"/>
  <c r="T106" i="33" s="1"/>
  <c r="D191" i="26"/>
  <c r="D107" i="33" s="1"/>
  <c r="E107" i="33" s="1"/>
  <c r="T107" i="33" s="1"/>
  <c r="D192" i="26"/>
  <c r="D108" i="33" s="1"/>
  <c r="E108" i="33" s="1"/>
  <c r="T108" i="33" s="1"/>
  <c r="D193" i="26"/>
  <c r="D109" i="33" s="1"/>
  <c r="E109" i="33" s="1"/>
  <c r="T109" i="33" s="1"/>
  <c r="D194" i="26"/>
  <c r="D110" i="33" s="1"/>
  <c r="E110" i="33" s="1"/>
  <c r="T110" i="33" s="1"/>
  <c r="D195" i="26"/>
  <c r="J29" i="26" s="1"/>
  <c r="K29" i="26" s="1"/>
  <c r="D196" i="26"/>
  <c r="D112" i="33" s="1"/>
  <c r="E112" i="33" s="1"/>
  <c r="T112" i="33" s="1"/>
  <c r="D197" i="26"/>
  <c r="D113" i="33" s="1"/>
  <c r="E113" i="33" s="1"/>
  <c r="T113" i="33" s="1"/>
  <c r="D198" i="26"/>
  <c r="D114" i="33" s="1"/>
  <c r="E114" i="33" s="1"/>
  <c r="T114" i="33" s="1"/>
  <c r="D199" i="26"/>
  <c r="D115" i="33" s="1"/>
  <c r="E115" i="33" s="1"/>
  <c r="T115" i="33" s="1"/>
  <c r="D200" i="26"/>
  <c r="D116" i="33" s="1"/>
  <c r="E116" i="33" s="1"/>
  <c r="T116" i="33" s="1"/>
  <c r="D201" i="26"/>
  <c r="D117" i="33" s="1"/>
  <c r="E117" i="33" s="1"/>
  <c r="T117" i="33" s="1"/>
  <c r="D202" i="26"/>
  <c r="D118" i="33" s="1"/>
  <c r="E118" i="33" s="1"/>
  <c r="T118" i="33" s="1"/>
  <c r="D203" i="26"/>
  <c r="D119" i="33" s="1"/>
  <c r="E119" i="33" s="1"/>
  <c r="T119" i="33" s="1"/>
  <c r="D204" i="26"/>
  <c r="D120" i="33" s="1"/>
  <c r="E120" i="33" s="1"/>
  <c r="T120" i="33" s="1"/>
  <c r="D205" i="26"/>
  <c r="D121" i="33" s="1"/>
  <c r="E121" i="33" s="1"/>
  <c r="T121" i="33" s="1"/>
  <c r="D206" i="26"/>
  <c r="D122" i="33" s="1"/>
  <c r="E122" i="33" s="1"/>
  <c r="T122" i="33" s="1"/>
  <c r="D3" i="33"/>
  <c r="E3" i="33" s="1"/>
  <c r="E149" i="33" s="1"/>
  <c r="D7" i="33"/>
  <c r="E7" i="33" s="1"/>
  <c r="T7" i="33" s="1"/>
  <c r="D11" i="33"/>
  <c r="E11" i="33" s="1"/>
  <c r="T11" i="33" s="1"/>
  <c r="D15" i="33"/>
  <c r="E15" i="33" s="1"/>
  <c r="D19" i="33"/>
  <c r="E19" i="33" s="1"/>
  <c r="T19" i="33" s="1"/>
  <c r="D23" i="33"/>
  <c r="E23" i="33" s="1"/>
  <c r="T23" i="33" s="1"/>
  <c r="D27" i="33"/>
  <c r="E27" i="33" s="1"/>
  <c r="D35" i="33"/>
  <c r="E35" i="33" s="1"/>
  <c r="T35" i="33" s="1"/>
  <c r="D39" i="33"/>
  <c r="E39" i="33" s="1"/>
  <c r="D59" i="33"/>
  <c r="E59" i="33" s="1"/>
  <c r="T59" i="33" s="1"/>
  <c r="D79" i="33"/>
  <c r="E79" i="33" s="1"/>
  <c r="T79" i="33" s="1"/>
  <c r="D103" i="33"/>
  <c r="E103" i="33" s="1"/>
  <c r="T103" i="33" s="1"/>
  <c r="D75" i="33" l="1"/>
  <c r="E75" i="33" s="1"/>
  <c r="D111" i="33"/>
  <c r="E111" i="33" s="1"/>
  <c r="D63" i="33"/>
  <c r="E63" i="33" s="1"/>
  <c r="J21" i="26"/>
  <c r="K21" i="26" s="1"/>
  <c r="D99" i="33"/>
  <c r="E99" i="33" s="1"/>
  <c r="D51" i="33"/>
  <c r="E51" i="33" s="1"/>
  <c r="D87" i="33"/>
  <c r="E87" i="33" s="1"/>
  <c r="J22" i="26"/>
  <c r="K22" i="26" s="1"/>
  <c r="J20" i="26"/>
  <c r="K20" i="26" s="1"/>
  <c r="E157" i="33"/>
  <c r="T157" i="33" s="1"/>
  <c r="T99" i="33"/>
  <c r="T51" i="33"/>
  <c r="E153" i="33"/>
  <c r="T153" i="33" s="1"/>
  <c r="T27" i="33"/>
  <c r="E151" i="33"/>
  <c r="T151" i="33" s="1"/>
  <c r="E154" i="33"/>
  <c r="T154" i="33" s="1"/>
  <c r="U154" i="33" s="1"/>
  <c r="T63" i="33"/>
  <c r="E155" i="33"/>
  <c r="T155" i="33" s="1"/>
  <c r="T75" i="33"/>
  <c r="T15" i="33"/>
  <c r="E150" i="33"/>
  <c r="T150" i="33" s="1"/>
  <c r="E158" i="33"/>
  <c r="T158" i="33" s="1"/>
  <c r="T111" i="33"/>
  <c r="E156" i="33"/>
  <c r="T156" i="33" s="1"/>
  <c r="U156" i="33" s="1"/>
  <c r="T87" i="33"/>
  <c r="T39" i="33"/>
  <c r="E152" i="33"/>
  <c r="T152" i="33" s="1"/>
  <c r="T3" i="33"/>
  <c r="T149" i="33"/>
  <c r="U149" i="33" s="1"/>
  <c r="G4" i="11" l="1"/>
  <c r="G6" i="11" s="1"/>
  <c r="B8" i="9"/>
  <c r="D8" i="9" s="1"/>
  <c r="E8" i="9" s="1"/>
  <c r="E162" i="33"/>
  <c r="T162" i="33" s="1"/>
  <c r="I4" i="11"/>
  <c r="I6" i="11" s="1"/>
  <c r="B10" i="9"/>
  <c r="F10" i="9" s="1"/>
  <c r="H4" i="11"/>
  <c r="H6" i="11" s="1"/>
  <c r="U155" i="33"/>
  <c r="B9" i="9"/>
  <c r="F9" i="9" s="1"/>
  <c r="U158" i="33"/>
  <c r="B12" i="9"/>
  <c r="K4" i="11"/>
  <c r="K6" i="11" s="1"/>
  <c r="B4" i="11"/>
  <c r="B6" i="11" s="1"/>
  <c r="B3" i="9"/>
  <c r="B6" i="9"/>
  <c r="E4" i="11"/>
  <c r="E6" i="11" s="1"/>
  <c r="B7" i="9"/>
  <c r="F4" i="11"/>
  <c r="F6" i="11" s="1"/>
  <c r="U157" i="33"/>
  <c r="B11" i="9"/>
  <c r="J4" i="11"/>
  <c r="J6" i="11" s="1"/>
  <c r="D4" i="11"/>
  <c r="D6" i="11" s="1"/>
  <c r="B5" i="9"/>
  <c r="B4" i="9"/>
  <c r="C4" i="11"/>
  <c r="C6" i="11" s="1"/>
  <c r="F8" i="9" l="1"/>
  <c r="D10" i="9"/>
  <c r="E10" i="9" s="1"/>
  <c r="D5" i="9"/>
  <c r="E5" i="9" s="1"/>
  <c r="F5" i="9"/>
  <c r="U233" i="33"/>
  <c r="U235" i="33"/>
  <c r="U151" i="33"/>
  <c r="D4" i="9"/>
  <c r="E4" i="9" s="1"/>
  <c r="F4" i="9"/>
  <c r="U153" i="33"/>
  <c r="U237" i="33"/>
  <c r="D6" i="9"/>
  <c r="E6" i="9" s="1"/>
  <c r="F6" i="9"/>
  <c r="D7" i="9"/>
  <c r="E7" i="9" s="1"/>
  <c r="F7" i="9"/>
  <c r="U236" i="33"/>
  <c r="U152" i="33"/>
  <c r="D9" i="9"/>
  <c r="E9" i="9" s="1"/>
  <c r="D11" i="9"/>
  <c r="E11" i="9" s="1"/>
  <c r="F11" i="9"/>
  <c r="D3" i="9"/>
  <c r="E3" i="9" s="1"/>
  <c r="F3" i="9"/>
  <c r="U234" i="33"/>
  <c r="U150" i="33"/>
  <c r="D12" i="9"/>
  <c r="E12" i="9" s="1"/>
  <c r="F12" i="9"/>
  <c r="F16" i="9" l="1"/>
  <c r="G14" i="9" s="1"/>
  <c r="G39" i="9" s="1"/>
  <c r="G31" i="9" l="1"/>
  <c r="H39" i="9"/>
  <c r="M7" i="11"/>
  <c r="L7" i="11"/>
  <c r="L8" i="11"/>
  <c r="G13" i="9"/>
  <c r="M8" i="11"/>
  <c r="G38" i="9" l="1"/>
  <c r="M9" i="11"/>
  <c r="G30" i="9"/>
  <c r="L9" i="11"/>
  <c r="H31" i="9"/>
  <c r="L39" i="9"/>
  <c r="L31" i="9" s="1"/>
  <c r="D13" i="18" s="1"/>
  <c r="M35" i="11" s="1"/>
  <c r="J39" i="9"/>
  <c r="J31" i="9" s="1"/>
  <c r="K39" i="9"/>
  <c r="K31" i="9" s="1"/>
  <c r="N39" i="9"/>
  <c r="M39" i="9"/>
  <c r="M31" i="9" s="1"/>
  <c r="I39" i="9"/>
  <c r="I31" i="9" s="1"/>
  <c r="M20" i="11" s="1"/>
  <c r="H38" i="9" l="1"/>
  <c r="H30" i="9" s="1"/>
  <c r="J38" i="9"/>
  <c r="J30" i="9" s="1"/>
  <c r="B12" i="18" s="1"/>
  <c r="K38" i="9"/>
  <c r="K30" i="9" s="1"/>
  <c r="L29" i="11" s="1"/>
  <c r="I38" i="9"/>
  <c r="I30" i="9" s="1"/>
  <c r="L20" i="11" s="1"/>
  <c r="N38" i="9"/>
  <c r="N30" i="9" s="1"/>
  <c r="L44" i="11" s="1"/>
  <c r="L38" i="9"/>
  <c r="L30" i="9" s="1"/>
  <c r="M38" i="9"/>
  <c r="M30" i="9" s="1"/>
  <c r="L39" i="11" s="1"/>
  <c r="N31" i="9"/>
  <c r="M44" i="11" s="1"/>
  <c r="O39" i="9"/>
  <c r="M29" i="11"/>
  <c r="C13" i="18"/>
  <c r="M30" i="11" s="1"/>
  <c r="B13" i="18"/>
  <c r="M24" i="11"/>
  <c r="E13" i="18"/>
  <c r="M40" i="11" s="1"/>
  <c r="M39" i="11"/>
  <c r="C12" i="18" l="1"/>
  <c r="L30" i="11" s="1"/>
  <c r="D12" i="18"/>
  <c r="L35" i="11" s="1"/>
  <c r="L34" i="11"/>
  <c r="E12" i="18"/>
  <c r="L40" i="11" s="1"/>
  <c r="O38" i="9"/>
  <c r="L24" i="11"/>
  <c r="O31" i="9"/>
  <c r="P47" i="9" s="1"/>
  <c r="O30" i="9"/>
  <c r="L16" i="11"/>
  <c r="M16" i="11"/>
  <c r="L25" i="11"/>
  <c r="M25" i="11"/>
  <c r="F13" i="18"/>
  <c r="M55" i="11" s="1"/>
  <c r="F12" i="18" l="1"/>
  <c r="L55" i="11" s="1"/>
  <c r="P46" i="9"/>
  <c r="L54" i="11"/>
  <c r="L49" i="11"/>
  <c r="L50" i="11"/>
  <c r="M49" i="11"/>
  <c r="M50" i="11"/>
  <c r="M60" i="11" s="1"/>
  <c r="P31" i="9"/>
  <c r="R31" i="9" s="1"/>
  <c r="M54" i="11"/>
  <c r="M11" i="11"/>
  <c r="P11" i="11" s="1"/>
  <c r="L11" i="11"/>
  <c r="P30" i="9"/>
  <c r="R30" i="9" s="1"/>
  <c r="Q11" i="11" l="1"/>
  <c r="L60" i="11"/>
  <c r="L59" i="11"/>
  <c r="M59" i="11"/>
</calcChain>
</file>

<file path=xl/sharedStrings.xml><?xml version="1.0" encoding="utf-8"?>
<sst xmlns="http://schemas.openxmlformats.org/spreadsheetml/2006/main" count="607" uniqueCount="228">
  <si>
    <t>Purchased</t>
  </si>
  <si>
    <t>Loss Factor</t>
  </si>
  <si>
    <t>Total Billed</t>
  </si>
  <si>
    <t>Heating Degree Days</t>
  </si>
  <si>
    <t>Cooling Degree Days</t>
  </si>
  <si>
    <t>Number of Days in Month</t>
  </si>
  <si>
    <t>Number of Peak Hours</t>
  </si>
  <si>
    <t>Ontario Real GDP Monthly %</t>
  </si>
  <si>
    <t>Purchases</t>
  </si>
  <si>
    <t>Modeled Purchases</t>
  </si>
  <si>
    <t>% Difference</t>
  </si>
  <si>
    <t>Total</t>
  </si>
  <si>
    <t xml:space="preserve">Predicted Purchases </t>
  </si>
  <si>
    <t>Variances (kWh)</t>
  </si>
  <si>
    <t>% Variance</t>
  </si>
  <si>
    <t>Weatther Normal</t>
  </si>
  <si>
    <t>Average</t>
  </si>
  <si>
    <t xml:space="preserve">Geomean </t>
  </si>
  <si>
    <t>Usage Per Customer</t>
  </si>
  <si>
    <t>Weather Sensitive Adjustment %</t>
  </si>
  <si>
    <t>Weather Sensitive Energy</t>
  </si>
  <si>
    <t>Weather Sensitvie Adjustment</t>
  </si>
  <si>
    <t>Weather Normal Forecast</t>
  </si>
  <si>
    <t>Check</t>
  </si>
  <si>
    <t>Weather Sensitvie Adjustment%</t>
  </si>
  <si>
    <t xml:space="preserve">Total </t>
  </si>
  <si>
    <t>Spring Fall Flag</t>
  </si>
  <si>
    <t>SUMMARY OUTPUT</t>
  </si>
  <si>
    <t>Regression Statistics</t>
  </si>
  <si>
    <t>Multiple R</t>
  </si>
  <si>
    <t>R Square</t>
  </si>
  <si>
    <t>Adjusted R Square</t>
  </si>
  <si>
    <t>Standard Error</t>
  </si>
  <si>
    <t>Observations</t>
  </si>
  <si>
    <t>ANOVA</t>
  </si>
  <si>
    <t>Regression</t>
  </si>
  <si>
    <t>Residual</t>
  </si>
  <si>
    <t>Intercept</t>
  </si>
  <si>
    <t>df</t>
  </si>
  <si>
    <t>SS</t>
  </si>
  <si>
    <t>MS</t>
  </si>
  <si>
    <t>F</t>
  </si>
  <si>
    <t>Significance F</t>
  </si>
  <si>
    <t>Coefficients</t>
  </si>
  <si>
    <t>t Stat</t>
  </si>
  <si>
    <t>P-value</t>
  </si>
  <si>
    <t>Lower 95%</t>
  </si>
  <si>
    <t>Upper 95%</t>
  </si>
  <si>
    <t>Lower 95.0%</t>
  </si>
  <si>
    <t>Upper 95.0%</t>
  </si>
  <si>
    <t>Difference</t>
  </si>
  <si>
    <t xml:space="preserve">Growth Rate in Customer Numbers </t>
  </si>
  <si>
    <t>Weather Corrected Forecast</t>
  </si>
  <si>
    <t>Non Weather Corrected Forecast</t>
  </si>
  <si>
    <t>% Weather Sensitive</t>
  </si>
  <si>
    <t>Allocation of Weather Sensitive Amount</t>
  </si>
  <si>
    <t xml:space="preserve">  Customers</t>
  </si>
  <si>
    <t xml:space="preserve">  kWh</t>
  </si>
  <si>
    <t xml:space="preserve">  kW</t>
  </si>
  <si>
    <t xml:space="preserve">  kW from applicable classes</t>
  </si>
  <si>
    <t xml:space="preserve">  Customer/Connections</t>
  </si>
  <si>
    <t>Actual kWh Purchases</t>
  </si>
  <si>
    <t>Predicted kWh Purchases</t>
  </si>
  <si>
    <t>By Class</t>
  </si>
  <si>
    <t>Billed kWh</t>
  </si>
  <si>
    <t>Check totals above sould be zero</t>
  </si>
  <si>
    <t>Number of Customers</t>
  </si>
  <si>
    <t>Residential</t>
  </si>
  <si>
    <t>GS&lt;50</t>
  </si>
  <si>
    <t>USL</t>
  </si>
  <si>
    <t>Billed</t>
  </si>
  <si>
    <t>Streetlights</t>
  </si>
  <si>
    <t xml:space="preserve">  Connections</t>
  </si>
  <si>
    <t>Total of Above</t>
  </si>
  <si>
    <t>Total from Model</t>
  </si>
  <si>
    <t>Check should all be zero</t>
  </si>
  <si>
    <t>Sentinels</t>
  </si>
  <si>
    <t xml:space="preserve">2010 Actual </t>
  </si>
  <si>
    <t>Consumed</t>
  </si>
  <si>
    <t>Total to 2010</t>
  </si>
  <si>
    <t>GS&gt;50 to 999</t>
  </si>
  <si>
    <t>GS&gt; 1000 to 4999</t>
  </si>
  <si>
    <t>Employment Number %</t>
  </si>
  <si>
    <t>Month</t>
  </si>
  <si>
    <t>Jan</t>
  </si>
  <si>
    <t>4 Year 2011 to 2014 target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</si>
  <si>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</si>
  <si>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</si>
  <si>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</si>
  <si>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</si>
  <si>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</si>
  <si>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</si>
  <si>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</si>
  <si>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</si>
  <si>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</si>
  <si>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</si>
  <si>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</si>
  <si>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Monthly Increment</t>
  </si>
  <si>
    <t>4 Year (2011-2014) kWh Target</t>
  </si>
  <si>
    <t>Year</t>
  </si>
  <si>
    <t xml:space="preserve"> CDM Results (Net)</t>
  </si>
  <si>
    <t>2011 CDM Programs</t>
  </si>
  <si>
    <t>2012 CDM Programs</t>
  </si>
  <si>
    <t>2013 CDM Programs</t>
  </si>
  <si>
    <t>2014 CDM Programs</t>
  </si>
  <si>
    <t>Total in Year</t>
  </si>
  <si>
    <t xml:space="preserve">2011 Actual </t>
  </si>
  <si>
    <t xml:space="preserve">2012 Actual </t>
  </si>
  <si>
    <t xml:space="preserve">2013 Actual </t>
  </si>
  <si>
    <t xml:space="preserve">2014 Actual </t>
  </si>
  <si>
    <t>HDD</t>
  </si>
  <si>
    <t>CDD</t>
  </si>
  <si>
    <t>10 Year Average</t>
  </si>
  <si>
    <t>Wholesale Market Participant</t>
  </si>
  <si>
    <t>Trend</t>
  </si>
  <si>
    <t>HDD Trend</t>
  </si>
  <si>
    <t>CDD Trend</t>
  </si>
  <si>
    <t>Spring Flag</t>
  </si>
  <si>
    <t>Fall Flag</t>
  </si>
  <si>
    <t>Outlet Mall</t>
  </si>
  <si>
    <t>Population</t>
  </si>
  <si>
    <t xml:space="preserve">Residential </t>
  </si>
  <si>
    <t>GS&lt;50 kW</t>
  </si>
  <si>
    <t>GS&gt;50 kW</t>
  </si>
  <si>
    <t>GS&gt;1,000 kW</t>
  </si>
  <si>
    <t>Total kWh</t>
  </si>
  <si>
    <t>.</t>
  </si>
  <si>
    <t>Table 3-4</t>
  </si>
  <si>
    <t>Forecast Summary Excluding CDM Impacts</t>
  </si>
  <si>
    <t>10 Year HDD/CDD</t>
  </si>
  <si>
    <t>Table 3-5</t>
  </si>
  <si>
    <t>Historical Number of Customers/Connections</t>
  </si>
  <si>
    <t>GS &lt;50 kW</t>
  </si>
  <si>
    <t>GS &gt;50 to 999 kW</t>
  </si>
  <si>
    <t>GS &gt;1,000 to 4,999 kW</t>
  </si>
  <si>
    <t>Unmetered Scatterred Load</t>
  </si>
  <si>
    <t>Table 3-6</t>
  </si>
  <si>
    <t>Customer/Connection Percentage Growth Rates</t>
  </si>
  <si>
    <t>Table 3-7</t>
  </si>
  <si>
    <t>Forecasted Customers/Connections</t>
  </si>
  <si>
    <t>Table 3-8</t>
  </si>
  <si>
    <t>Historical kWh Usage</t>
  </si>
  <si>
    <t>Table 3-9</t>
  </si>
  <si>
    <t>Historical Percentage Growth Rates</t>
  </si>
  <si>
    <t>Table 3-10</t>
  </si>
  <si>
    <t>Forecasted Annual kWh Usage Per Customer/Connection</t>
  </si>
  <si>
    <t>Table 3-11</t>
  </si>
  <si>
    <t>Billed Energy Forecast - Non-Normalized Weather</t>
  </si>
  <si>
    <t>Table 3-12</t>
  </si>
  <si>
    <t>Weather Sensitivity By Rate Class kWh</t>
  </si>
  <si>
    <t>Table 3-13</t>
  </si>
  <si>
    <t>Normalized kWh, Excluding CDM Adjustments</t>
  </si>
  <si>
    <t>% Savings</t>
  </si>
  <si>
    <t>kWh Savings</t>
  </si>
  <si>
    <t>Table 3-14</t>
  </si>
  <si>
    <t>Impact of 2011 to 2014 CDM Programs (kWH)</t>
  </si>
  <si>
    <t>CDM Impacts</t>
  </si>
  <si>
    <t>Daylight Hours</t>
  </si>
  <si>
    <t>CDM Impacts on the 2016 Load Forecast (MWh)</t>
  </si>
  <si>
    <t>Load Forecast (excluding CDM)</t>
  </si>
  <si>
    <t>Deduct persistent CDM savings (CDM savings were added to historical data):</t>
  </si>
  <si>
    <t>Pre 2011 CDM Programs</t>
  </si>
  <si>
    <t>2011 to 2014 CDM Programs</t>
  </si>
  <si>
    <t>Sub total</t>
  </si>
  <si>
    <t>Manual CDM Adjustment for 2015 and 2016 CDM Programs</t>
  </si>
  <si>
    <t>Load Forecast Including impact of CDM</t>
  </si>
  <si>
    <t>2016 CDM Impacts By Rate Class</t>
  </si>
  <si>
    <t>Table 3-</t>
  </si>
  <si>
    <t>(Not Required)</t>
  </si>
  <si>
    <t>kWh</t>
  </si>
  <si>
    <t>kW</t>
  </si>
  <si>
    <t>Table 3-15 CDM Impacts By Rate Class for Load Forecast</t>
  </si>
  <si>
    <t>Table 3-16 CDM Impacts By Rate Class for LRAM VA</t>
  </si>
  <si>
    <t>Table 3-17 Historical kW by Rate Class</t>
  </si>
  <si>
    <t>Table 3-18 Historical Relationship between kW and kWh by Rate Class</t>
  </si>
  <si>
    <t>kW / kWh</t>
  </si>
  <si>
    <t>Year End Values</t>
  </si>
  <si>
    <t>Year End Customers</t>
  </si>
  <si>
    <t>Year End Connections</t>
  </si>
  <si>
    <t>Total Power Purchases</t>
  </si>
  <si>
    <t>Purchased - IESO</t>
  </si>
  <si>
    <t>2006 Programs</t>
  </si>
  <si>
    <t>2007 Programs</t>
  </si>
  <si>
    <t>2008 Programs</t>
  </si>
  <si>
    <t>2009 Programs</t>
  </si>
  <si>
    <t>2010 Programs</t>
  </si>
  <si>
    <t>2011 Programs</t>
  </si>
  <si>
    <t>2012 Programs</t>
  </si>
  <si>
    <t>2013 Programs</t>
  </si>
  <si>
    <t>2014 Programs</t>
  </si>
  <si>
    <t>2015 Programs</t>
  </si>
  <si>
    <t>2016 Programs</t>
  </si>
  <si>
    <t>2017 Programs</t>
  </si>
  <si>
    <t>2018 Programs</t>
  </si>
  <si>
    <t>2019 Programs</t>
  </si>
  <si>
    <t>Total with half year rule adjustment</t>
  </si>
  <si>
    <t>CDM Activity Variable</t>
  </si>
  <si>
    <t>2020 Programs</t>
  </si>
  <si>
    <t>Used</t>
  </si>
  <si>
    <t>Geomean</t>
  </si>
  <si>
    <t xml:space="preserve">Covid 19 % Impact </t>
  </si>
  <si>
    <t xml:space="preserve">Covid 19 Impact </t>
  </si>
  <si>
    <t>From March 15th</t>
  </si>
  <si>
    <t>Full Year</t>
  </si>
  <si>
    <t xml:space="preserve">2015 Actual </t>
  </si>
  <si>
    <t xml:space="preserve">2016 Actual </t>
  </si>
  <si>
    <t xml:space="preserve">2017 Actual </t>
  </si>
  <si>
    <t xml:space="preserve">2018 Actual </t>
  </si>
  <si>
    <t xml:space="preserve">2019 Actual </t>
  </si>
  <si>
    <t>2020 Weather Normal</t>
  </si>
  <si>
    <t>2021 Weather Normal</t>
  </si>
  <si>
    <t>Halton Hills Hydro Inc. Weather Normal Load Forecast for 2021 Rate Application</t>
  </si>
  <si>
    <t>20 Year Trend Scenario</t>
  </si>
  <si>
    <t>CDM</t>
  </si>
  <si>
    <t>Covid Adjustment</t>
  </si>
  <si>
    <t>Net Purchases</t>
  </si>
  <si>
    <t>Direct CDM Adjustment</t>
  </si>
  <si>
    <t>Direct CDM and Closing adjustment</t>
  </si>
  <si>
    <t>Direct CDM and Closing Reductions</t>
  </si>
  <si>
    <t>Customer</t>
  </si>
  <si>
    <t>Source File</t>
  </si>
  <si>
    <t>Total Manual kW Adjustment</t>
  </si>
  <si>
    <t>Total Manual kWh Adjustment</t>
  </si>
  <si>
    <t>Average Customer Count - 2021</t>
  </si>
  <si>
    <t>Base on May 20, 2020 IESO  update</t>
  </si>
  <si>
    <t>Metered Customers</t>
  </si>
  <si>
    <t>Average customers</t>
  </si>
  <si>
    <t xml:space="preserve">  -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</si>
</sst>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9">
    <numFmt numFmtId="42" formatCode="_-&quot;$&quot;* #,##0_-;\-&quot;$&quot;* #,##0_-;_-&quot;$&quot;* &quot;-&quot;_-;_-@_-"/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0.0%"/>
    <numFmt numFmtId="166" formatCode="#,##0;\(#,##0\)"/>
    <numFmt numFmtId="167" formatCode="0.0000"/>
    <numFmt numFmtId="168" formatCode="#,##0.0000"/>
    <numFmt numFmtId="169" formatCode="0.0000%"/>
    <numFmt numFmtId="170" formatCode="_(* #,##0_);_(* \(#,##0\);_(* &quot;-&quot;??_);_(@_)"/>
    <numFmt numFmtId="171" formatCode="0.0"/>
    <numFmt numFmtId="172" formatCode="_(* #,##0.0_);_(* \(#,##0.0\);_(* &quot;-&quot;??_);_(@_)"/>
    <numFmt numFmtId="173" formatCode="_(* #,##0.000_);_(* \(#,##0.000\);_(* &quot;-&quot;??_);_(@_)"/>
    <numFmt numFmtId="174" formatCode="_-* #,##0_-;\-* #,##0_-;_-* &quot;-&quot;??_-;_-@_-"/>
    <numFmt numFmtId="175" formatCode="#,##0.0"/>
    <numFmt numFmtId="176" formatCode="_-* #,##0.0000_-;\-* #,##0.0000_-;_-* &quot;-&quot;??_-;_-@_-"/>
    <numFmt numFmtId="177" formatCode="_(* #,##0.0000_);_(* \(#,##0.0000\);_(* &quot;-&quot;??_);_(@_)"/>
    <numFmt numFmtId="178" formatCode="_-* #,##0.0_-;\-* #,##0.0_-;_-* &quot;-&quot;?_-;_-@_-"/>
  </numFmts>
  <fonts count="11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u/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4"/>
      <name val="Arial"/>
      <family val="2"/>
    </font>
    <font>
      <b/>
      <sz val="11"/>
      <color theme="1"/>
      <name val="Calibri"/>
      <family val="2"/>
      <scheme val="minor"/>
    </font>
    <font>
      <sz val="9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76B531"/>
        <bgColor indexed="64"/>
      </patternFill>
    </fill>
    <fill>
      <patternFill patternType="solid">
        <fgColor theme="7" tint="0.59999389629810485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7">
    <xf numFmtId="0" fontId="0" fillId="0" borderId="0"/>
    <xf numFmtId="9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2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9" fillId="0" borderId="0"/>
    <xf numFmtId="164" fontId="9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75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17" fontId="0" fillId="0" borderId="0" xfId="0" applyNumberFormat="1"/>
    <xf numFmtId="0" fontId="0" fillId="0" borderId="0" xfId="0" applyAlignment="1">
      <alignment horizontal="right"/>
    </xf>
    <xf numFmtId="165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/>
    </xf>
    <xf numFmtId="3" fontId="2" fillId="0" borderId="0" xfId="0" applyNumberFormat="1" applyFont="1" applyAlignment="1">
      <alignment horizontal="center"/>
    </xf>
    <xf numFmtId="3" fontId="0" fillId="0" borderId="0" xfId="0" applyNumberFormat="1" applyFont="1" applyAlignment="1">
      <alignment horizontal="center" wrapText="1"/>
    </xf>
    <xf numFmtId="3" fontId="2" fillId="0" borderId="0" xfId="0" applyNumberFormat="1" applyFont="1" applyAlignment="1">
      <alignment horizontal="center" wrapText="1"/>
    </xf>
    <xf numFmtId="37" fontId="0" fillId="0" borderId="0" xfId="0" applyNumberFormat="1" applyFont="1" applyAlignment="1">
      <alignment horizontal="center"/>
    </xf>
    <xf numFmtId="3" fontId="0" fillId="0" borderId="0" xfId="0" applyNumberFormat="1" applyFont="1" applyAlignment="1">
      <alignment horizontal="center"/>
    </xf>
    <xf numFmtId="0" fontId="2" fillId="0" borderId="0" xfId="0" applyFont="1" applyAlignment="1">
      <alignment horizontal="center" wrapText="1"/>
    </xf>
    <xf numFmtId="3" fontId="0" fillId="0" borderId="0" xfId="4" applyNumberFormat="1" applyFont="1" applyAlignment="1">
      <alignment horizontal="center"/>
    </xf>
    <xf numFmtId="165" fontId="0" fillId="0" borderId="0" xfId="0" applyNumberFormat="1" applyFont="1" applyAlignment="1">
      <alignment horizontal="center"/>
    </xf>
    <xf numFmtId="0" fontId="0" fillId="0" borderId="0" xfId="0" applyFont="1"/>
    <xf numFmtId="10" fontId="0" fillId="0" borderId="0" xfId="0" applyNumberFormat="1" applyAlignment="1">
      <alignment horizontal="center"/>
    </xf>
    <xf numFmtId="1" fontId="0" fillId="0" borderId="0" xfId="0" applyNumberFormat="1"/>
    <xf numFmtId="37" fontId="0" fillId="0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center"/>
    </xf>
    <xf numFmtId="0" fontId="3" fillId="0" borderId="0" xfId="0" applyFont="1"/>
    <xf numFmtId="0" fontId="3" fillId="0" borderId="0" xfId="0" applyFont="1" applyAlignment="1"/>
    <xf numFmtId="17" fontId="3" fillId="0" borderId="0" xfId="0" applyNumberFormat="1" applyFont="1"/>
    <xf numFmtId="0" fontId="0" fillId="0" borderId="0" xfId="0" applyFill="1" applyAlignment="1">
      <alignment horizontal="center"/>
    </xf>
    <xf numFmtId="167" fontId="0" fillId="0" borderId="0" xfId="0" applyNumberFormat="1" applyAlignment="1">
      <alignment horizontal="center"/>
    </xf>
    <xf numFmtId="168" fontId="0" fillId="0" borderId="0" xfId="0" applyNumberFormat="1" applyAlignment="1">
      <alignment horizontal="center"/>
    </xf>
    <xf numFmtId="9" fontId="0" fillId="0" borderId="0" xfId="0" applyNumberFormat="1" applyAlignment="1">
      <alignment horizontal="center"/>
    </xf>
    <xf numFmtId="3" fontId="0" fillId="0" borderId="0" xfId="0" applyNumberFormat="1" applyFill="1" applyAlignment="1">
      <alignment horizontal="center"/>
    </xf>
    <xf numFmtId="169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 wrapText="1"/>
    </xf>
    <xf numFmtId="0" fontId="0" fillId="0" borderId="1" xfId="0" applyBorder="1" applyAlignment="1">
      <alignment horizontal="right"/>
    </xf>
    <xf numFmtId="0" fontId="0" fillId="0" borderId="0" xfId="0" applyFill="1"/>
    <xf numFmtId="4" fontId="2" fillId="0" borderId="0" xfId="0" applyNumberFormat="1" applyFont="1" applyAlignment="1">
      <alignment horizontal="center" wrapText="1"/>
    </xf>
    <xf numFmtId="4" fontId="0" fillId="0" borderId="0" xfId="0" applyNumberFormat="1" applyFont="1" applyFill="1" applyAlignment="1">
      <alignment horizontal="center"/>
    </xf>
    <xf numFmtId="4" fontId="0" fillId="0" borderId="0" xfId="0" applyNumberFormat="1" applyAlignment="1">
      <alignment horizontal="center"/>
    </xf>
    <xf numFmtId="0" fontId="0" fillId="0" borderId="0" xfId="0" applyFill="1" applyBorder="1" applyAlignment="1"/>
    <xf numFmtId="166" fontId="0" fillId="0" borderId="0" xfId="0" applyNumberFormat="1" applyAlignment="1">
      <alignment horizontal="center"/>
    </xf>
    <xf numFmtId="3" fontId="0" fillId="3" borderId="0" xfId="0" applyNumberFormat="1" applyFill="1" applyAlignment="1">
      <alignment horizontal="center"/>
    </xf>
    <xf numFmtId="0" fontId="0" fillId="0" borderId="0" xfId="0" applyAlignment="1">
      <alignment horizontal="center" wrapText="1"/>
    </xf>
    <xf numFmtId="3" fontId="3" fillId="0" borderId="0" xfId="0" applyNumberFormat="1" applyFont="1"/>
    <xf numFmtId="0" fontId="4" fillId="0" borderId="0" xfId="0" applyFont="1"/>
    <xf numFmtId="165" fontId="0" fillId="0" borderId="0" xfId="0" applyNumberFormat="1" applyAlignment="1">
      <alignment horizontal="center" wrapText="1"/>
    </xf>
    <xf numFmtId="0" fontId="3" fillId="0" borderId="0" xfId="0" applyFont="1" applyAlignment="1">
      <alignment horizontal="center" wrapText="1"/>
    </xf>
    <xf numFmtId="3" fontId="0" fillId="3" borderId="0" xfId="4" applyNumberFormat="1" applyFont="1" applyFill="1" applyAlignment="1">
      <alignment horizontal="center"/>
    </xf>
    <xf numFmtId="37" fontId="0" fillId="3" borderId="0" xfId="0" applyNumberFormat="1" applyFont="1" applyFill="1" applyAlignment="1">
      <alignment horizontal="center"/>
    </xf>
    <xf numFmtId="37" fontId="0" fillId="0" borderId="0" xfId="0" applyNumberFormat="1" applyAlignment="1">
      <alignment horizontal="center"/>
    </xf>
    <xf numFmtId="167" fontId="0" fillId="0" borderId="0" xfId="0" applyNumberFormat="1" applyFill="1" applyAlignment="1">
      <alignment horizontal="center"/>
    </xf>
    <xf numFmtId="0" fontId="0" fillId="0" borderId="2" xfId="0" applyFill="1" applyBorder="1" applyAlignment="1"/>
    <xf numFmtId="0" fontId="5" fillId="0" borderId="3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Continuous"/>
    </xf>
    <xf numFmtId="0" fontId="3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3" fontId="0" fillId="0" borderId="0" xfId="0" applyNumberFormat="1" applyFont="1" applyFill="1" applyAlignment="1">
      <alignment horizontal="center"/>
    </xf>
    <xf numFmtId="164" fontId="0" fillId="0" borderId="0" xfId="4" applyFont="1" applyFill="1" applyBorder="1" applyAlignment="1"/>
    <xf numFmtId="164" fontId="0" fillId="0" borderId="2" xfId="4" applyFont="1" applyFill="1" applyBorder="1" applyAlignment="1"/>
    <xf numFmtId="170" fontId="0" fillId="0" borderId="0" xfId="4" applyNumberFormat="1" applyFont="1" applyFill="1" applyBorder="1" applyAlignment="1"/>
    <xf numFmtId="170" fontId="0" fillId="0" borderId="2" xfId="4" applyNumberFormat="1" applyFont="1" applyFill="1" applyBorder="1" applyAlignment="1"/>
    <xf numFmtId="9" fontId="0" fillId="0" borderId="0" xfId="1" applyFont="1" applyFill="1" applyBorder="1" applyAlignment="1"/>
    <xf numFmtId="171" fontId="0" fillId="3" borderId="0" xfId="0" applyNumberFormat="1" applyFill="1" applyAlignment="1">
      <alignment horizontal="center"/>
    </xf>
    <xf numFmtId="3" fontId="0" fillId="0" borderId="0" xfId="4" applyNumberFormat="1" applyFont="1" applyFill="1" applyAlignment="1">
      <alignment horizontal="center"/>
    </xf>
    <xf numFmtId="1" fontId="0" fillId="0" borderId="0" xfId="0" applyNumberFormat="1" applyFill="1" applyAlignment="1">
      <alignment horizontal="center"/>
    </xf>
    <xf numFmtId="2" fontId="0" fillId="0" borderId="0" xfId="0" applyNumberFormat="1" applyFill="1" applyAlignment="1">
      <alignment horizontal="center"/>
    </xf>
    <xf numFmtId="1" fontId="0" fillId="0" borderId="0" xfId="0" applyNumberFormat="1" applyFill="1" applyBorder="1" applyAlignment="1"/>
    <xf numFmtId="3" fontId="0" fillId="0" borderId="0" xfId="4" applyNumberFormat="1" applyFont="1" applyAlignment="1">
      <alignment horizontal="center"/>
    </xf>
    <xf numFmtId="3" fontId="0" fillId="0" borderId="0" xfId="0" applyNumberFormat="1" applyFont="1" applyAlignment="1">
      <alignment horizontal="center" wrapText="1"/>
    </xf>
    <xf numFmtId="3" fontId="0" fillId="0" borderId="0" xfId="0" applyNumberFormat="1" applyFont="1" applyAlignment="1">
      <alignment horizontal="center"/>
    </xf>
    <xf numFmtId="9" fontId="0" fillId="3" borderId="0" xfId="1" applyFont="1" applyFill="1" applyAlignment="1">
      <alignment horizontal="center"/>
    </xf>
    <xf numFmtId="0" fontId="0" fillId="0" borderId="0" xfId="0" applyFont="1" applyAlignment="1">
      <alignment horizontal="center" wrapText="1"/>
    </xf>
    <xf numFmtId="4" fontId="0" fillId="0" borderId="0" xfId="0" applyNumberFormat="1" applyFont="1" applyAlignment="1">
      <alignment horizontal="center" wrapText="1"/>
    </xf>
    <xf numFmtId="170" fontId="0" fillId="4" borderId="0" xfId="4" applyNumberFormat="1" applyFont="1" applyFill="1" applyAlignment="1">
      <alignment horizontal="center"/>
    </xf>
    <xf numFmtId="170" fontId="0" fillId="4" borderId="0" xfId="4" applyNumberFormat="1" applyFont="1" applyFill="1" applyAlignment="1">
      <alignment horizontal="center"/>
    </xf>
    <xf numFmtId="170" fontId="0" fillId="4" borderId="0" xfId="4" applyNumberFormat="1" applyFont="1" applyFill="1" applyAlignment="1">
      <alignment horizontal="center"/>
    </xf>
    <xf numFmtId="170" fontId="0" fillId="4" borderId="0" xfId="4" applyNumberFormat="1" applyFont="1" applyFill="1" applyAlignment="1">
      <alignment horizontal="center"/>
    </xf>
    <xf numFmtId="10" fontId="0" fillId="0" borderId="0" xfId="1" applyNumberFormat="1" applyFont="1" applyAlignment="1">
      <alignment horizontal="center"/>
    </xf>
    <xf numFmtId="17" fontId="0" fillId="0" borderId="0" xfId="0" applyNumberFormat="1" applyAlignment="1">
      <alignment horizontal="center"/>
    </xf>
    <xf numFmtId="37" fontId="0" fillId="0" borderId="0" xfId="0" applyNumberFormat="1" applyFont="1" applyAlignment="1">
      <alignment horizontal="right"/>
    </xf>
    <xf numFmtId="174" fontId="0" fillId="0" borderId="0" xfId="9" applyNumberFormat="1" applyFont="1"/>
    <xf numFmtId="0" fontId="0" fillId="0" borderId="1" xfId="0" applyBorder="1" applyAlignment="1">
      <alignment horizontal="center"/>
    </xf>
    <xf numFmtId="174" fontId="0" fillId="0" borderId="0" xfId="0" applyNumberFormat="1"/>
    <xf numFmtId="0" fontId="0" fillId="0" borderId="0" xfId="0" applyFont="1"/>
    <xf numFmtId="3" fontId="0" fillId="0" borderId="0" xfId="0" applyNumberFormat="1"/>
    <xf numFmtId="170" fontId="0" fillId="0" borderId="0" xfId="4" applyNumberFormat="1" applyFont="1"/>
    <xf numFmtId="174" fontId="0" fillId="0" borderId="0" xfId="9" applyNumberFormat="1" applyFont="1" applyFill="1"/>
    <xf numFmtId="170" fontId="0" fillId="0" borderId="0" xfId="4" applyNumberFormat="1" applyFont="1" applyFill="1"/>
    <xf numFmtId="164" fontId="0" fillId="0" borderId="0" xfId="4" applyNumberFormat="1" applyFont="1" applyFill="1"/>
    <xf numFmtId="0" fontId="0" fillId="0" borderId="0" xfId="0" applyBorder="1" applyAlignment="1">
      <alignment horizontal="center"/>
    </xf>
    <xf numFmtId="170" fontId="0" fillId="0" borderId="0" xfId="0" applyNumberFormat="1" applyAlignment="1">
      <alignment horizontal="center"/>
    </xf>
    <xf numFmtId="0" fontId="0" fillId="0" borderId="0" xfId="0" applyFont="1" applyAlignment="1">
      <alignment horizontal="left"/>
    </xf>
    <xf numFmtId="0" fontId="0" fillId="0" borderId="0" xfId="0" applyFont="1" applyAlignment="1">
      <alignment horizontal="center" vertical="center"/>
    </xf>
    <xf numFmtId="0" fontId="0" fillId="0" borderId="0" xfId="0" applyBorder="1" applyAlignment="1">
      <alignment horizontal="right"/>
    </xf>
    <xf numFmtId="3" fontId="0" fillId="0" borderId="0" xfId="0" applyNumberFormat="1" applyBorder="1" applyAlignment="1">
      <alignment horizontal="right"/>
    </xf>
    <xf numFmtId="0" fontId="0" fillId="0" borderId="6" xfId="0" applyBorder="1" applyAlignment="1">
      <alignment horizontal="right"/>
    </xf>
    <xf numFmtId="3" fontId="0" fillId="0" borderId="6" xfId="0" applyNumberFormat="1" applyBorder="1" applyAlignment="1">
      <alignment horizontal="right"/>
    </xf>
    <xf numFmtId="0" fontId="0" fillId="0" borderId="7" xfId="0" applyFont="1" applyBorder="1"/>
    <xf numFmtId="0" fontId="0" fillId="0" borderId="8" xfId="0" applyFont="1" applyBorder="1"/>
    <xf numFmtId="3" fontId="0" fillId="0" borderId="9" xfId="0" applyNumberFormat="1" applyBorder="1" applyAlignment="1">
      <alignment horizontal="right"/>
    </xf>
    <xf numFmtId="3" fontId="0" fillId="0" borderId="10" xfId="0" applyNumberFormat="1" applyBorder="1" applyAlignment="1">
      <alignment horizontal="right"/>
    </xf>
    <xf numFmtId="0" fontId="3" fillId="0" borderId="0" xfId="0" applyFont="1" applyFill="1" applyAlignment="1">
      <alignment horizontal="right" vertical="center" wrapText="1"/>
    </xf>
    <xf numFmtId="3" fontId="0" fillId="4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172" fontId="0" fillId="0" borderId="0" xfId="4" applyNumberFormat="1" applyFont="1"/>
    <xf numFmtId="17" fontId="0" fillId="0" borderId="0" xfId="0" applyNumberFormat="1" applyBorder="1" applyAlignment="1">
      <alignment horizontal="center"/>
    </xf>
    <xf numFmtId="172" fontId="0" fillId="0" borderId="0" xfId="0" applyNumberFormat="1" applyBorder="1"/>
    <xf numFmtId="0" fontId="0" fillId="0" borderId="0" xfId="0" applyBorder="1"/>
    <xf numFmtId="172" fontId="0" fillId="0" borderId="0" xfId="4" applyNumberFormat="1" applyFont="1" applyFill="1" applyBorder="1" applyAlignment="1">
      <alignment horizontal="center"/>
    </xf>
    <xf numFmtId="170" fontId="0" fillId="0" borderId="0" xfId="0" applyNumberFormat="1" applyBorder="1"/>
    <xf numFmtId="0" fontId="0" fillId="0" borderId="0" xfId="0" applyFont="1" applyFill="1"/>
    <xf numFmtId="17" fontId="0" fillId="0" borderId="0" xfId="12" applyNumberFormat="1" applyFont="1" applyFill="1"/>
    <xf numFmtId="0" fontId="0" fillId="0" borderId="0" xfId="12" applyFont="1" applyFill="1" applyBorder="1" applyAlignment="1">
      <alignment horizontal="right" vertical="center" wrapText="1"/>
    </xf>
    <xf numFmtId="2" fontId="0" fillId="0" borderId="0" xfId="0" applyNumberFormat="1" applyAlignment="1">
      <alignment horizontal="right" wrapText="1"/>
    </xf>
    <xf numFmtId="170" fontId="0" fillId="0" borderId="0" xfId="0" applyNumberFormat="1"/>
    <xf numFmtId="0" fontId="6" fillId="0" borderId="0" xfId="0" applyFont="1"/>
    <xf numFmtId="172" fontId="0" fillId="0" borderId="0" xfId="4" applyNumberFormat="1" applyFont="1" applyFill="1" applyAlignment="1">
      <alignment horizontal="right"/>
    </xf>
    <xf numFmtId="0" fontId="3" fillId="0" borderId="0" xfId="0" applyFont="1" applyAlignment="1">
      <alignment horizontal="right"/>
    </xf>
    <xf numFmtId="172" fontId="3" fillId="0" borderId="0" xfId="4" applyNumberFormat="1" applyFont="1" applyFill="1" applyAlignment="1">
      <alignment horizontal="right"/>
    </xf>
    <xf numFmtId="3" fontId="0" fillId="0" borderId="0" xfId="0" applyNumberFormat="1" applyFont="1" applyBorder="1" applyAlignment="1">
      <alignment horizontal="right"/>
    </xf>
    <xf numFmtId="0" fontId="0" fillId="0" borderId="0" xfId="0" applyFont="1" applyAlignment="1">
      <alignment horizontal="right"/>
    </xf>
    <xf numFmtId="170" fontId="0" fillId="0" borderId="0" xfId="4" applyNumberFormat="1" applyFont="1"/>
    <xf numFmtId="0" fontId="3" fillId="0" borderId="0" xfId="0" applyFont="1" applyAlignment="1">
      <alignment horizontal="center"/>
    </xf>
    <xf numFmtId="3" fontId="3" fillId="0" borderId="0" xfId="0" applyNumberFormat="1" applyFont="1" applyAlignment="1">
      <alignment horizontal="right"/>
    </xf>
    <xf numFmtId="2" fontId="3" fillId="0" borderId="0" xfId="0" applyNumberFormat="1" applyFont="1" applyAlignment="1">
      <alignment horizontal="right" wrapText="1"/>
    </xf>
    <xf numFmtId="164" fontId="0" fillId="0" borderId="0" xfId="4" applyFont="1"/>
    <xf numFmtId="3" fontId="0" fillId="0" borderId="0" xfId="0" applyNumberFormat="1" applyFont="1" applyFill="1" applyAlignment="1">
      <alignment horizontal="center"/>
    </xf>
    <xf numFmtId="3" fontId="0" fillId="0" borderId="0" xfId="0" applyNumberFormat="1" applyFont="1" applyAlignment="1">
      <alignment horizontal="left"/>
    </xf>
    <xf numFmtId="170" fontId="0" fillId="0" borderId="0" xfId="0" applyNumberFormat="1" applyFill="1"/>
    <xf numFmtId="37" fontId="0" fillId="0" borderId="0" xfId="0" applyNumberFormat="1" applyFill="1" applyBorder="1" applyAlignment="1">
      <alignment horizontal="center"/>
    </xf>
    <xf numFmtId="0" fontId="0" fillId="0" borderId="0" xfId="0" applyFont="1" applyAlignment="1">
      <alignment horizontal="left" wrapText="1"/>
    </xf>
    <xf numFmtId="173" fontId="0" fillId="5" borderId="0" xfId="4" applyNumberFormat="1" applyFont="1" applyFill="1" applyAlignment="1">
      <alignment horizontal="center"/>
    </xf>
    <xf numFmtId="172" fontId="0" fillId="5" borderId="0" xfId="4" applyNumberFormat="1" applyFont="1" applyFill="1" applyAlignment="1">
      <alignment horizontal="center"/>
    </xf>
    <xf numFmtId="0" fontId="0" fillId="0" borderId="1" xfId="0" applyBorder="1"/>
    <xf numFmtId="170" fontId="0" fillId="0" borderId="1" xfId="4" applyNumberFormat="1" applyFont="1" applyBorder="1"/>
    <xf numFmtId="0" fontId="0" fillId="0" borderId="0" xfId="0" applyFont="1" applyFill="1" applyAlignment="1">
      <alignment horizontal="center" wrapText="1"/>
    </xf>
    <xf numFmtId="4" fontId="0" fillId="0" borderId="0" xfId="0" applyNumberFormat="1" applyFont="1" applyFill="1" applyAlignment="1">
      <alignment horizontal="center" wrapText="1"/>
    </xf>
    <xf numFmtId="173" fontId="0" fillId="0" borderId="0" xfId="4" applyNumberFormat="1" applyFont="1" applyFill="1" applyAlignment="1">
      <alignment horizontal="center"/>
    </xf>
    <xf numFmtId="170" fontId="0" fillId="0" borderId="0" xfId="4" applyNumberFormat="1" applyFont="1" applyFill="1"/>
    <xf numFmtId="175" fontId="0" fillId="0" borderId="0" xfId="0" applyNumberFormat="1" applyAlignment="1">
      <alignment horizontal="center"/>
    </xf>
    <xf numFmtId="170" fontId="0" fillId="0" borderId="0" xfId="4" applyNumberFormat="1" applyFont="1" applyFill="1" applyAlignment="1">
      <alignment horizontal="center"/>
    </xf>
    <xf numFmtId="9" fontId="0" fillId="0" borderId="0" xfId="1" applyFont="1" applyAlignment="1">
      <alignment horizontal="center"/>
    </xf>
    <xf numFmtId="0" fontId="4" fillId="0" borderId="0" xfId="0" applyFont="1" applyAlignment="1">
      <alignment horizontal="left" vertical="center" wrapText="1"/>
    </xf>
    <xf numFmtId="10" fontId="0" fillId="0" borderId="0" xfId="1" applyNumberFormat="1" applyFont="1"/>
    <xf numFmtId="0" fontId="8" fillId="0" borderId="0" xfId="0" applyFont="1"/>
    <xf numFmtId="0" fontId="0" fillId="0" borderId="0" xfId="0" applyNumberFormat="1" applyAlignment="1">
      <alignment horizontal="center"/>
    </xf>
    <xf numFmtId="0" fontId="0" fillId="0" borderId="0" xfId="0" applyNumberFormat="1" applyAlignment="1">
      <alignment horizontal="right"/>
    </xf>
    <xf numFmtId="166" fontId="0" fillId="0" borderId="0" xfId="0" applyNumberFormat="1" applyFill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0" fillId="0" borderId="1" xfId="0" applyBorder="1" applyAlignment="1">
      <alignment horizontal="center" wrapText="1"/>
    </xf>
    <xf numFmtId="174" fontId="0" fillId="0" borderId="1" xfId="4" applyNumberFormat="1" applyFont="1" applyBorder="1"/>
    <xf numFmtId="174" fontId="0" fillId="0" borderId="1" xfId="4" applyNumberFormat="1" applyFont="1" applyBorder="1" applyAlignment="1">
      <alignment horizontal="center"/>
    </xf>
    <xf numFmtId="176" fontId="0" fillId="0" borderId="1" xfId="4" applyNumberFormat="1" applyFont="1" applyBorder="1" applyAlignment="1">
      <alignment horizontal="center"/>
    </xf>
    <xf numFmtId="176" fontId="0" fillId="0" borderId="1" xfId="4" applyNumberFormat="1" applyFont="1" applyBorder="1"/>
    <xf numFmtId="3" fontId="0" fillId="0" borderId="1" xfId="0" applyNumberFormat="1" applyFont="1" applyFill="1" applyBorder="1" applyAlignment="1">
      <alignment horizontal="center"/>
    </xf>
    <xf numFmtId="3" fontId="0" fillId="0" borderId="1" xfId="0" applyNumberFormat="1" applyFill="1" applyBorder="1" applyAlignment="1">
      <alignment horizontal="center"/>
    </xf>
    <xf numFmtId="177" fontId="0" fillId="0" borderId="1" xfId="4" applyNumberFormat="1" applyFont="1" applyBorder="1"/>
    <xf numFmtId="170" fontId="0" fillId="0" borderId="1" xfId="4" applyNumberFormat="1" applyFont="1" applyBorder="1" applyAlignment="1">
      <alignment horizontal="center"/>
    </xf>
    <xf numFmtId="0" fontId="0" fillId="0" borderId="1" xfId="4" applyNumberFormat="1" applyFont="1" applyBorder="1"/>
    <xf numFmtId="9" fontId="0" fillId="0" borderId="1" xfId="1" applyFont="1" applyBorder="1" applyAlignment="1">
      <alignment horizontal="center"/>
    </xf>
    <xf numFmtId="10" fontId="0" fillId="0" borderId="0" xfId="0" applyNumberFormat="1" applyFill="1" applyBorder="1" applyAlignment="1">
      <alignment horizontal="right"/>
    </xf>
    <xf numFmtId="10" fontId="0" fillId="0" borderId="0" xfId="0" applyNumberFormat="1" applyBorder="1" applyAlignment="1">
      <alignment horizontal="right"/>
    </xf>
    <xf numFmtId="10" fontId="0" fillId="0" borderId="6" xfId="0" applyNumberFormat="1" applyBorder="1" applyAlignment="1">
      <alignment horizontal="right"/>
    </xf>
    <xf numFmtId="10" fontId="0" fillId="0" borderId="0" xfId="1" applyNumberFormat="1" applyFont="1" applyBorder="1" applyAlignment="1">
      <alignment horizontal="right"/>
    </xf>
    <xf numFmtId="10" fontId="0" fillId="0" borderId="9" xfId="0" applyNumberFormat="1" applyBorder="1" applyAlignment="1">
      <alignment horizontal="right"/>
    </xf>
    <xf numFmtId="10" fontId="0" fillId="0" borderId="10" xfId="0" applyNumberFormat="1" applyBorder="1" applyAlignment="1">
      <alignment horizontal="right"/>
    </xf>
    <xf numFmtId="0" fontId="3" fillId="0" borderId="11" xfId="0" quotePrefix="1" applyFont="1" applyBorder="1"/>
    <xf numFmtId="0" fontId="3" fillId="0" borderId="7" xfId="0" applyFont="1" applyBorder="1"/>
    <xf numFmtId="170" fontId="0" fillId="5" borderId="0" xfId="4" applyNumberFormat="1" applyFont="1" applyFill="1" applyAlignment="1">
      <alignment horizontal="center"/>
    </xf>
    <xf numFmtId="0" fontId="3" fillId="0" borderId="0" xfId="0" applyFont="1" applyAlignment="1">
      <alignment horizontal="center"/>
    </xf>
    <xf numFmtId="169" fontId="0" fillId="0" borderId="1" xfId="1" applyNumberFormat="1" applyFont="1" applyBorder="1"/>
    <xf numFmtId="170" fontId="0" fillId="0" borderId="0" xfId="4" applyNumberFormat="1" applyFont="1" applyBorder="1"/>
    <xf numFmtId="0" fontId="3" fillId="6" borderId="0" xfId="0" applyFont="1" applyFill="1"/>
    <xf numFmtId="2" fontId="0" fillId="0" borderId="0" xfId="0" applyNumberFormat="1" applyFill="1" applyAlignment="1">
      <alignment horizontal="right" wrapText="1"/>
    </xf>
    <xf numFmtId="0" fontId="3" fillId="7" borderId="0" xfId="0" applyFont="1" applyFill="1"/>
    <xf numFmtId="0" fontId="0" fillId="7" borderId="0" xfId="0" applyFill="1"/>
    <xf numFmtId="0" fontId="3" fillId="7" borderId="0" xfId="0" applyFont="1" applyFill="1" applyAlignment="1">
      <alignment horizontal="left"/>
    </xf>
    <xf numFmtId="0" fontId="7" fillId="7" borderId="11" xfId="0" applyFont="1" applyFill="1" applyBorder="1"/>
    <xf numFmtId="0" fontId="0" fillId="7" borderId="4" xfId="0" applyFill="1" applyBorder="1"/>
    <xf numFmtId="0" fontId="7" fillId="7" borderId="4" xfId="0" applyFont="1" applyFill="1" applyBorder="1" applyAlignment="1">
      <alignment horizontal="right"/>
    </xf>
    <xf numFmtId="0" fontId="7" fillId="7" borderId="5" xfId="0" applyFont="1" applyFill="1" applyBorder="1" applyAlignment="1">
      <alignment horizontal="right"/>
    </xf>
    <xf numFmtId="0" fontId="0" fillId="7" borderId="7" xfId="0" applyFill="1" applyBorder="1"/>
    <xf numFmtId="0" fontId="0" fillId="7" borderId="0" xfId="0" applyFill="1" applyBorder="1"/>
    <xf numFmtId="170" fontId="0" fillId="7" borderId="0" xfId="4" applyNumberFormat="1" applyFont="1" applyFill="1" applyBorder="1"/>
    <xf numFmtId="170" fontId="0" fillId="7" borderId="6" xfId="4" applyNumberFormat="1" applyFont="1" applyFill="1" applyBorder="1"/>
    <xf numFmtId="0" fontId="0" fillId="7" borderId="12" xfId="0" applyFill="1" applyBorder="1"/>
    <xf numFmtId="0" fontId="0" fillId="7" borderId="13" xfId="0" applyFill="1" applyBorder="1"/>
    <xf numFmtId="170" fontId="0" fillId="7" borderId="13" xfId="4" applyNumberFormat="1" applyFont="1" applyFill="1" applyBorder="1"/>
    <xf numFmtId="170" fontId="0" fillId="7" borderId="14" xfId="4" applyNumberFormat="1" applyFont="1" applyFill="1" applyBorder="1"/>
    <xf numFmtId="0" fontId="0" fillId="7" borderId="15" xfId="0" applyFill="1" applyBorder="1"/>
    <xf numFmtId="0" fontId="0" fillId="7" borderId="16" xfId="0" applyFill="1" applyBorder="1"/>
    <xf numFmtId="0" fontId="0" fillId="7" borderId="17" xfId="0" applyFill="1" applyBorder="1"/>
    <xf numFmtId="0" fontId="0" fillId="7" borderId="2" xfId="0" applyFill="1" applyBorder="1"/>
    <xf numFmtId="170" fontId="0" fillId="7" borderId="17" xfId="4" applyNumberFormat="1" applyFont="1" applyFill="1" applyBorder="1"/>
    <xf numFmtId="170" fontId="0" fillId="7" borderId="18" xfId="4" applyNumberFormat="1" applyFont="1" applyFill="1" applyBorder="1"/>
    <xf numFmtId="0" fontId="0" fillId="7" borderId="0" xfId="0" applyFont="1" applyFill="1"/>
    <xf numFmtId="3" fontId="0" fillId="7" borderId="0" xfId="0" applyNumberFormat="1" applyFill="1"/>
    <xf numFmtId="0" fontId="3" fillId="7" borderId="4" xfId="0" applyFont="1" applyFill="1" applyBorder="1" applyAlignment="1">
      <alignment horizontal="center"/>
    </xf>
    <xf numFmtId="0" fontId="7" fillId="7" borderId="5" xfId="0" applyFont="1" applyFill="1" applyBorder="1" applyAlignment="1">
      <alignment horizontal="center"/>
    </xf>
    <xf numFmtId="170" fontId="0" fillId="7" borderId="0" xfId="0" applyNumberFormat="1" applyFill="1" applyBorder="1"/>
    <xf numFmtId="0" fontId="0" fillId="7" borderId="6" xfId="0" applyFill="1" applyBorder="1"/>
    <xf numFmtId="170" fontId="0" fillId="7" borderId="15" xfId="0" applyNumberFormat="1" applyFill="1" applyBorder="1"/>
    <xf numFmtId="170" fontId="0" fillId="7" borderId="19" xfId="4" applyNumberFormat="1" applyFont="1" applyFill="1" applyBorder="1"/>
    <xf numFmtId="0" fontId="0" fillId="7" borderId="20" xfId="0" applyFill="1" applyBorder="1" applyAlignment="1">
      <alignment wrapText="1"/>
    </xf>
    <xf numFmtId="170" fontId="0" fillId="7" borderId="2" xfId="0" applyNumberFormat="1" applyFill="1" applyBorder="1"/>
    <xf numFmtId="170" fontId="0" fillId="7" borderId="21" xfId="0" applyNumberFormat="1" applyFill="1" applyBorder="1"/>
    <xf numFmtId="169" fontId="0" fillId="0" borderId="0" xfId="1" applyNumberFormat="1" applyFont="1" applyFill="1" applyAlignment="1">
      <alignment horizontal="center"/>
    </xf>
    <xf numFmtId="3" fontId="0" fillId="0" borderId="0" xfId="0" applyNumberFormat="1" applyFill="1" applyAlignment="1">
      <alignment horizontal="left"/>
    </xf>
    <xf numFmtId="177" fontId="0" fillId="0" borderId="0" xfId="4" applyNumberFormat="1" applyFont="1"/>
    <xf numFmtId="0" fontId="0" fillId="0" borderId="0" xfId="0" applyFont="1" applyAlignment="1">
      <alignment horizontal="center"/>
    </xf>
    <xf numFmtId="0" fontId="0" fillId="0" borderId="0" xfId="0" applyAlignment="1">
      <alignment horizontal="center"/>
    </xf>
    <xf numFmtId="174" fontId="0" fillId="4" borderId="0" xfId="4" applyNumberFormat="1" applyFont="1" applyFill="1" applyAlignment="1">
      <alignment horizontal="center"/>
    </xf>
    <xf numFmtId="0" fontId="0" fillId="0" borderId="0" xfId="0" applyAlignment="1">
      <alignment horizontal="center"/>
    </xf>
    <xf numFmtId="4" fontId="0" fillId="0" borderId="0" xfId="0" applyNumberFormat="1" applyFill="1" applyAlignment="1">
      <alignment horizontal="center"/>
    </xf>
    <xf numFmtId="172" fontId="0" fillId="0" borderId="0" xfId="4" applyNumberFormat="1" applyFont="1" applyFill="1" applyAlignment="1">
      <alignment horizontal="center"/>
    </xf>
    <xf numFmtId="3" fontId="0" fillId="0" borderId="0" xfId="0" applyNumberFormat="1" applyAlignment="1">
      <alignment horizontal="right"/>
    </xf>
    <xf numFmtId="37" fontId="0" fillId="0" borderId="0" xfId="0" applyNumberFormat="1" applyFill="1" applyAlignment="1">
      <alignment horizontal="center"/>
    </xf>
    <xf numFmtId="0" fontId="0" fillId="0" borderId="1" xfId="0" applyFill="1" applyBorder="1" applyAlignment="1">
      <alignment vertical="top"/>
    </xf>
    <xf numFmtId="0" fontId="0" fillId="0" borderId="23" xfId="0" applyFill="1" applyBorder="1" applyAlignment="1">
      <alignment vertical="top"/>
    </xf>
    <xf numFmtId="43" fontId="0" fillId="0" borderId="0" xfId="0" applyNumberFormat="1"/>
    <xf numFmtId="174" fontId="0" fillId="0" borderId="1" xfId="0" applyNumberFormat="1" applyBorder="1"/>
    <xf numFmtId="0" fontId="0" fillId="0" borderId="0" xfId="0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 vertical="center" wrapText="1"/>
    </xf>
    <xf numFmtId="174" fontId="0" fillId="0" borderId="0" xfId="0" applyNumberFormat="1" applyFill="1"/>
    <xf numFmtId="170" fontId="0" fillId="0" borderId="0" xfId="9" applyNumberFormat="1" applyFont="1" applyFill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9" fillId="0" borderId="0" xfId="0" applyFont="1"/>
    <xf numFmtId="3" fontId="9" fillId="0" borderId="0" xfId="0" applyNumberFormat="1" applyFont="1" applyFill="1" applyAlignment="1">
      <alignment horizontal="center"/>
    </xf>
    <xf numFmtId="165" fontId="0" fillId="0" borderId="0" xfId="1" applyNumberFormat="1" applyFont="1" applyAlignment="1">
      <alignment horizontal="center"/>
    </xf>
    <xf numFmtId="171" fontId="0" fillId="0" borderId="0" xfId="0" applyNumberFormat="1"/>
    <xf numFmtId="178" fontId="0" fillId="0" borderId="0" xfId="0" applyNumberFormat="1"/>
    <xf numFmtId="172" fontId="0" fillId="0" borderId="2" xfId="4" applyNumberFormat="1" applyFont="1" applyFill="1" applyBorder="1" applyAlignment="1"/>
    <xf numFmtId="3" fontId="0" fillId="0" borderId="0" xfId="0" applyNumberFormat="1" applyAlignment="1">
      <alignment horizontal="left"/>
    </xf>
    <xf numFmtId="0" fontId="10" fillId="0" borderId="0" xfId="0" applyFont="1" applyFill="1" applyAlignment="1">
      <alignment horizontal="left"/>
    </xf>
    <xf numFmtId="3" fontId="10" fillId="0" borderId="0" xfId="0" applyNumberFormat="1" applyFont="1" applyFill="1" applyAlignment="1">
      <alignment horizontal="center"/>
    </xf>
    <xf numFmtId="0" fontId="0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70" fontId="0" fillId="8" borderId="0" xfId="4" applyNumberFormat="1" applyFont="1" applyFill="1" applyAlignment="1">
      <alignment horizontal="center"/>
    </xf>
    <xf numFmtId="10" fontId="0" fillId="8" borderId="0" xfId="1" applyNumberFormat="1" applyFont="1" applyFill="1" applyBorder="1" applyAlignment="1"/>
    <xf numFmtId="170" fontId="0" fillId="8" borderId="0" xfId="4" applyNumberFormat="1" applyFont="1" applyFill="1" applyBorder="1" applyAlignment="1"/>
    <xf numFmtId="0" fontId="0" fillId="8" borderId="2" xfId="0" applyFill="1" applyBorder="1" applyAlignment="1"/>
    <xf numFmtId="174" fontId="0" fillId="8" borderId="1" xfId="9" applyNumberFormat="1" applyFont="1" applyFill="1" applyBorder="1"/>
    <xf numFmtId="0" fontId="0" fillId="8" borderId="1" xfId="0" applyFill="1" applyBorder="1"/>
    <xf numFmtId="174" fontId="0" fillId="8" borderId="1" xfId="0" applyNumberFormat="1" applyFill="1" applyBorder="1"/>
    <xf numFmtId="3" fontId="10" fillId="8" borderId="0" xfId="0" applyNumberFormat="1" applyFont="1" applyFill="1" applyAlignment="1">
      <alignment horizontal="center"/>
    </xf>
    <xf numFmtId="167" fontId="10" fillId="8" borderId="0" xfId="0" applyNumberFormat="1" applyFont="1" applyFill="1" applyAlignment="1">
      <alignment horizontal="center"/>
    </xf>
    <xf numFmtId="165" fontId="0" fillId="8" borderId="0" xfId="0" applyNumberFormat="1" applyFill="1" applyAlignment="1">
      <alignment horizontal="center"/>
    </xf>
    <xf numFmtId="172" fontId="0" fillId="0" borderId="0" xfId="4" applyNumberFormat="1" applyFont="1" applyFill="1" applyBorder="1" applyAlignment="1"/>
    <xf numFmtId="170" fontId="0" fillId="0" borderId="0" xfId="0" applyNumberFormat="1" applyFill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Alignment="1">
      <alignment horizontal="center"/>
    </xf>
    <xf numFmtId="3" fontId="0" fillId="0" borderId="1" xfId="0" applyNumberFormat="1" applyBorder="1" applyAlignment="1">
      <alignment horizontal="center"/>
    </xf>
    <xf numFmtId="0" fontId="0" fillId="0" borderId="1" xfId="0" applyFill="1" applyBorder="1" applyAlignment="1">
      <alignment horizontal="right" vertical="top"/>
    </xf>
    <xf numFmtId="0" fontId="0" fillId="0" borderId="24" xfId="0" applyFill="1" applyBorder="1" applyAlignment="1">
      <alignment horizontal="right" vertical="top"/>
    </xf>
    <xf numFmtId="0" fontId="0" fillId="0" borderId="25" xfId="0" applyFill="1" applyBorder="1" applyAlignment="1">
      <alignment horizontal="right" vertical="top"/>
    </xf>
    <xf numFmtId="0" fontId="3" fillId="0" borderId="0" xfId="0" applyFont="1" applyAlignment="1">
      <alignment horizontal="center"/>
    </xf>
    <xf numFmtId="0" fontId="0" fillId="7" borderId="7" xfId="0" applyFill="1" applyBorder="1" applyAlignment="1">
      <alignment horizontal="left" wrapText="1"/>
    </xf>
    <xf numFmtId="0" fontId="0" fillId="7" borderId="0" xfId="0" applyFill="1" applyBorder="1" applyAlignment="1">
      <alignment horizontal="left" wrapText="1"/>
    </xf>
    <xf numFmtId="0" fontId="0" fillId="7" borderId="22" xfId="0" applyFill="1" applyBorder="1" applyAlignment="1">
      <alignment horizontal="left" wrapText="1"/>
    </xf>
    <xf numFmtId="0" fontId="0" fillId="7" borderId="15" xfId="0" applyFill="1" applyBorder="1" applyAlignment="1">
      <alignment horizontal="left" wrapText="1"/>
    </xf>
    <xf numFmtId="0" fontId="3" fillId="0" borderId="0" xfId="0" applyFont="1" applyAlignment="1">
      <alignment horizontal="left"/>
    </xf>
    <xf numFmtId="0" fontId="3" fillId="0" borderId="1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3" fontId="3" fillId="0" borderId="20" xfId="0" applyNumberFormat="1" applyFont="1" applyBorder="1" applyAlignment="1">
      <alignment horizontal="center"/>
    </xf>
    <xf numFmtId="3" fontId="3" fillId="0" borderId="2" xfId="0" applyNumberFormat="1" applyFont="1" applyBorder="1" applyAlignment="1">
      <alignment horizontal="center"/>
    </xf>
    <xf numFmtId="3" fontId="3" fillId="0" borderId="21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7" borderId="0" xfId="0" applyFont="1" applyFill="1" applyAlignment="1">
      <alignment horizontal="left"/>
    </xf>
  </cellXfs>
  <cellStyles count="17">
    <cellStyle name="Comma" xfId="4"/>
    <cellStyle name="Comma [0]" xfId="5"/>
    <cellStyle name="Comma 2" xfId="6"/>
    <cellStyle name="Comma 2 2" xfId="13"/>
    <cellStyle name="Comma 3" xfId="7"/>
    <cellStyle name="Comma 3 2" xfId="15"/>
    <cellStyle name="Comma 4" xfId="11"/>
    <cellStyle name="Comma_CDM monthly amounts" xfId="9"/>
    <cellStyle name="Currency" xfId="2"/>
    <cellStyle name="Currency [0]" xfId="3"/>
    <cellStyle name="Normal" xfId="0" builtinId="0"/>
    <cellStyle name="Normal 2" xfId="12"/>
    <cellStyle name="Normal 3" xfId="10"/>
    <cellStyle name="Normal 5 2" xfId="14"/>
    <cellStyle name="Percent" xfId="1"/>
    <cellStyle name="Percent 2" xfId="8"/>
    <cellStyle name="Percent 3 2" xfId="16"/>
  </cellStyles>
  <dxfs count="0"/>
  <tableStyles count="0" defaultTableStyle="TableStyleMedium9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6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externalLink" Target="externalLinks/externalLink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rds.ontarioenergyboard.ca/Users/askidmore/AppData/Local/Microsoft/Windows/Temporary%20Internet%20Files/Content.Outlook/0GV1CQED/Dummy%20Fil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racyr\AppData\Local\Microsoft\Windows\INetCache\Content.Outlook\K8CFDP0X\en_climate_daily_ON_6158731_2015_P1D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racyr\AppData\Local\Microsoft\Windows\INetCache\Content.Outlook\K8CFDP0X\en_climate_daily_ON_6158731_2016_P1D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racyr\AppData\Local\Microsoft\Windows\INetCache\Content.Outlook\K8CFDP0X\en_climate_daily_ON_6158731_2017_P1D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racyr\AppData\Local\Microsoft\Windows\INetCache\Content.Outlook\K8CFDP0X\en_climate_daily_ON_6158731_2018_P1D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racyr\AppData\Local\Microsoft\Windows\INetCache\Content.Outlook\K8CFDP0X\en_climate_daily_ON_6158731_2019_P1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ummy File"/>
    </sheetNames>
    <sheetDataSet>
      <sheetData sheetId="0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_climate_daily_ON_6158731_201"/>
    </sheetNames>
    <sheetDataSet>
      <sheetData sheetId="0">
        <row r="32">
          <cell r="Q32">
            <v>792.39999999999975</v>
          </cell>
          <cell r="S32">
            <v>0</v>
          </cell>
        </row>
        <row r="61">
          <cell r="Q61">
            <v>856.8</v>
          </cell>
          <cell r="S61">
            <v>0</v>
          </cell>
        </row>
        <row r="92">
          <cell r="Q92">
            <v>615.49999999999989</v>
          </cell>
          <cell r="S92">
            <v>0</v>
          </cell>
        </row>
        <row r="122">
          <cell r="Q122">
            <v>313.7</v>
          </cell>
          <cell r="S122">
            <v>0</v>
          </cell>
        </row>
        <row r="153">
          <cell r="Q153">
            <v>89.3</v>
          </cell>
          <cell r="S153">
            <v>34.1</v>
          </cell>
        </row>
        <row r="183">
          <cell r="Q183">
            <v>33.800000000000004</v>
          </cell>
          <cell r="S183">
            <v>32.299999999999997</v>
          </cell>
        </row>
        <row r="214">
          <cell r="Q214">
            <v>4</v>
          </cell>
          <cell r="S214">
            <v>114.29999999999998</v>
          </cell>
        </row>
        <row r="245">
          <cell r="Q245">
            <v>4.4000000000000004</v>
          </cell>
          <cell r="S245">
            <v>88.6</v>
          </cell>
        </row>
        <row r="275">
          <cell r="Q275">
            <v>31.099999999999994</v>
          </cell>
          <cell r="S275">
            <v>81.900000000000006</v>
          </cell>
        </row>
        <row r="306">
          <cell r="Q306">
            <v>249.8</v>
          </cell>
          <cell r="S306">
            <v>0</v>
          </cell>
        </row>
        <row r="336">
          <cell r="Q336">
            <v>345</v>
          </cell>
          <cell r="S336">
            <v>0</v>
          </cell>
        </row>
        <row r="367">
          <cell r="Q367">
            <v>429.70000000000005</v>
          </cell>
          <cell r="S367">
            <v>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_climate_daily_ON_6158731_201"/>
    </sheetNames>
    <sheetDataSet>
      <sheetData sheetId="0">
        <row r="32">
          <cell r="Q32">
            <v>670.4</v>
          </cell>
          <cell r="S32">
            <v>0</v>
          </cell>
        </row>
        <row r="61">
          <cell r="Q61">
            <v>588.4</v>
          </cell>
          <cell r="S61">
            <v>0</v>
          </cell>
        </row>
        <row r="92">
          <cell r="Q92">
            <v>476.0999999999998</v>
          </cell>
          <cell r="S92">
            <v>0</v>
          </cell>
        </row>
        <row r="122">
          <cell r="Q122">
            <v>394.8</v>
          </cell>
          <cell r="S122">
            <v>0</v>
          </cell>
        </row>
        <row r="153">
          <cell r="Q153">
            <v>142.50000000000003</v>
          </cell>
          <cell r="S153">
            <v>36.9</v>
          </cell>
        </row>
        <row r="183">
          <cell r="Q183">
            <v>24.200000000000003</v>
          </cell>
          <cell r="S183">
            <v>83.7</v>
          </cell>
        </row>
        <row r="214">
          <cell r="Q214">
            <v>0</v>
          </cell>
          <cell r="S214">
            <v>176.89999999999998</v>
          </cell>
        </row>
        <row r="245">
          <cell r="Q245">
            <v>0</v>
          </cell>
          <cell r="S245">
            <v>195.4</v>
          </cell>
        </row>
        <row r="275">
          <cell r="Q275">
            <v>25.900000000000006</v>
          </cell>
          <cell r="S275">
            <v>69.400000000000006</v>
          </cell>
        </row>
        <row r="306">
          <cell r="Q306">
            <v>194.20000000000002</v>
          </cell>
          <cell r="S306">
            <v>4.0999999999999996</v>
          </cell>
        </row>
        <row r="336">
          <cell r="Q336">
            <v>337.80000000000007</v>
          </cell>
          <cell r="S336">
            <v>0</v>
          </cell>
        </row>
        <row r="367">
          <cell r="Q367">
            <v>607.99999999999989</v>
          </cell>
          <cell r="S367">
            <v>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_climate_daily_ON_6158731_201"/>
    </sheetNames>
    <sheetDataSet>
      <sheetData sheetId="0">
        <row r="32">
          <cell r="Q32">
            <v>608.9</v>
          </cell>
          <cell r="S32">
            <v>0</v>
          </cell>
        </row>
        <row r="61">
          <cell r="Q61">
            <v>510.4</v>
          </cell>
          <cell r="S61">
            <v>0</v>
          </cell>
        </row>
        <row r="92">
          <cell r="Q92">
            <v>574</v>
          </cell>
          <cell r="S92">
            <v>0</v>
          </cell>
        </row>
        <row r="122">
          <cell r="Q122">
            <v>257.49999999999994</v>
          </cell>
          <cell r="S122">
            <v>0</v>
          </cell>
        </row>
        <row r="153">
          <cell r="Q153">
            <v>177</v>
          </cell>
          <cell r="S153">
            <v>9</v>
          </cell>
        </row>
        <row r="183">
          <cell r="Q183">
            <v>26.699999999999996</v>
          </cell>
          <cell r="S183">
            <v>68.2</v>
          </cell>
        </row>
        <row r="214">
          <cell r="Q214">
            <v>0</v>
          </cell>
          <cell r="S214">
            <v>116.49999999999999</v>
          </cell>
        </row>
        <row r="245">
          <cell r="Q245">
            <v>11.6</v>
          </cell>
          <cell r="S245">
            <v>75.2</v>
          </cell>
        </row>
        <row r="275">
          <cell r="Q275">
            <v>49.1</v>
          </cell>
          <cell r="S275">
            <v>71.499999999999986</v>
          </cell>
        </row>
        <row r="306">
          <cell r="Q306">
            <v>153.99999999999997</v>
          </cell>
          <cell r="S306">
            <v>8.1</v>
          </cell>
        </row>
        <row r="336">
          <cell r="Q336">
            <v>414.2</v>
          </cell>
          <cell r="S336">
            <v>0</v>
          </cell>
        </row>
        <row r="367">
          <cell r="Q367">
            <v>718.49999999999989</v>
          </cell>
          <cell r="S367">
            <v>0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_climate_daily_ON_6158731_201"/>
    </sheetNames>
    <sheetDataSet>
      <sheetData sheetId="0">
        <row r="32">
          <cell r="Q32">
            <v>732.29999999999984</v>
          </cell>
          <cell r="S32">
            <v>0</v>
          </cell>
        </row>
        <row r="61">
          <cell r="Q61">
            <v>555.00000000000023</v>
          </cell>
          <cell r="S61">
            <v>0</v>
          </cell>
        </row>
        <row r="92">
          <cell r="Q92">
            <v>553.99999999999989</v>
          </cell>
          <cell r="S92">
            <v>0</v>
          </cell>
        </row>
        <row r="122">
          <cell r="Q122">
            <v>437.20000000000005</v>
          </cell>
          <cell r="S122">
            <v>0</v>
          </cell>
        </row>
        <row r="153">
          <cell r="Q153">
            <v>75.3</v>
          </cell>
          <cell r="S153">
            <v>43.4</v>
          </cell>
        </row>
        <row r="183">
          <cell r="Q183">
            <v>14.799999999999999</v>
          </cell>
          <cell r="S183">
            <v>60.5</v>
          </cell>
        </row>
        <row r="214">
          <cell r="Q214">
            <v>0</v>
          </cell>
          <cell r="S214">
            <v>167.8</v>
          </cell>
        </row>
        <row r="245">
          <cell r="Q245">
            <v>1.2</v>
          </cell>
          <cell r="S245">
            <v>162.4</v>
          </cell>
        </row>
        <row r="275">
          <cell r="Q275">
            <v>41.399999999999991</v>
          </cell>
          <cell r="S275">
            <v>76.399999999999977</v>
          </cell>
        </row>
        <row r="306">
          <cell r="Q306">
            <v>289.40000000000003</v>
          </cell>
          <cell r="S306">
            <v>8.1999999999999993</v>
          </cell>
        </row>
        <row r="336">
          <cell r="Q336">
            <v>494.1</v>
          </cell>
          <cell r="S336">
            <v>0</v>
          </cell>
        </row>
        <row r="367">
          <cell r="Q367">
            <v>563.60000000000014</v>
          </cell>
          <cell r="S367">
            <v>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_climate_daily_ON_6158731_201"/>
    </sheetNames>
    <sheetDataSet>
      <sheetData sheetId="0">
        <row r="32">
          <cell r="Q32">
            <v>764.5</v>
          </cell>
          <cell r="S32">
            <v>0</v>
          </cell>
        </row>
        <row r="61">
          <cell r="Q61">
            <v>621.70000000000016</v>
          </cell>
          <cell r="S61">
            <v>0</v>
          </cell>
        </row>
        <row r="92">
          <cell r="Q92">
            <v>593.90000000000009</v>
          </cell>
          <cell r="S92">
            <v>0</v>
          </cell>
        </row>
        <row r="122">
          <cell r="Q122">
            <v>346.8</v>
          </cell>
          <cell r="S122">
            <v>0</v>
          </cell>
        </row>
        <row r="153">
          <cell r="Q153">
            <v>180.99999999999997</v>
          </cell>
          <cell r="S153">
            <v>0</v>
          </cell>
        </row>
        <row r="183">
          <cell r="Q183">
            <v>35.5</v>
          </cell>
          <cell r="S183">
            <v>41.300000000000004</v>
          </cell>
        </row>
        <row r="214">
          <cell r="Q214">
            <v>0</v>
          </cell>
          <cell r="S214">
            <v>166.90000000000003</v>
          </cell>
        </row>
        <row r="245">
          <cell r="Q245">
            <v>0.89999999999999991</v>
          </cell>
          <cell r="S245">
            <v>103.30000000000003</v>
          </cell>
        </row>
        <row r="275">
          <cell r="Q275">
            <v>38.400000000000006</v>
          </cell>
          <cell r="S275">
            <v>25.400000000000002</v>
          </cell>
        </row>
        <row r="306">
          <cell r="Q306">
            <v>236.5</v>
          </cell>
          <cell r="S306">
            <v>5.0999999999999996</v>
          </cell>
        </row>
        <row r="336">
          <cell r="Q336">
            <v>513.30000000000007</v>
          </cell>
          <cell r="S336">
            <v>0</v>
          </cell>
        </row>
        <row r="367">
          <cell r="Q367">
            <v>582.4</v>
          </cell>
          <cell r="S367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Q65"/>
  <sheetViews>
    <sheetView tabSelected="1" zoomScale="90" zoomScaleNormal="90" workbookViewId="0">
      <pane xSplit="1" ySplit="3" topLeftCell="M10" activePane="bottomRight" state="frozen"/>
      <selection activeCell="Q41" sqref="Q41"/>
      <selection pane="topRight" activeCell="Q41" sqref="Q41"/>
      <selection pane="bottomLeft" activeCell="Q41" sqref="Q41"/>
      <selection pane="bottomRight" activeCell="S13" sqref="S12:S13"/>
    </sheetView>
  </sheetViews>
  <sheetFormatPr defaultColWidth="9.33203125" defaultRowHeight="13.2" x14ac:dyDescent="0.25"/>
  <cols>
    <col min="1" max="1" width="32.6640625" customWidth="1"/>
    <col min="2" max="6" width="12.5546875" style="1" customWidth="1"/>
    <col min="7" max="7" width="12.5546875" style="24" customWidth="1"/>
    <col min="8" max="8" width="12.5546875" style="1" customWidth="1"/>
    <col min="9" max="11" width="12.5546875" customWidth="1"/>
    <col min="12" max="12" width="13.6640625" bestFit="1" customWidth="1"/>
    <col min="13" max="13" width="13.5546875" customWidth="1"/>
    <col min="15" max="15" width="11.109375" customWidth="1"/>
  </cols>
  <sheetData>
    <row r="1" spans="1:17" ht="15.6" x14ac:dyDescent="0.3">
      <c r="A1" s="249" t="s">
        <v>211</v>
      </c>
      <c r="B1" s="249"/>
      <c r="C1" s="249"/>
      <c r="D1" s="249"/>
      <c r="E1" s="249"/>
      <c r="F1" s="249"/>
      <c r="G1" s="249"/>
      <c r="H1" s="249"/>
      <c r="I1" s="249"/>
      <c r="J1" s="249"/>
      <c r="K1" s="249"/>
      <c r="L1" s="249"/>
    </row>
    <row r="3" spans="1:17" ht="52.8" x14ac:dyDescent="0.25">
      <c r="B3" s="43" t="s">
        <v>77</v>
      </c>
      <c r="C3" s="43" t="s">
        <v>106</v>
      </c>
      <c r="D3" s="43" t="s">
        <v>107</v>
      </c>
      <c r="E3" s="43" t="s">
        <v>108</v>
      </c>
      <c r="F3" s="43" t="s">
        <v>109</v>
      </c>
      <c r="G3" s="43" t="s">
        <v>204</v>
      </c>
      <c r="H3" s="43" t="s">
        <v>205</v>
      </c>
      <c r="I3" s="43" t="s">
        <v>206</v>
      </c>
      <c r="J3" s="43" t="s">
        <v>207</v>
      </c>
      <c r="K3" s="43" t="s">
        <v>208</v>
      </c>
      <c r="L3" s="51" t="s">
        <v>209</v>
      </c>
      <c r="M3" s="43" t="s">
        <v>210</v>
      </c>
      <c r="O3" s="43" t="s">
        <v>223</v>
      </c>
    </row>
    <row r="4" spans="1:17" x14ac:dyDescent="0.25">
      <c r="A4" s="21" t="s">
        <v>61</v>
      </c>
      <c r="B4" s="30">
        <f ca="1">'Purchased Power Model'!E149</f>
        <v>525707722.49012214</v>
      </c>
      <c r="C4" s="30">
        <f ca="1">'Purchased Power Model'!E150</f>
        <v>524345059.91201699</v>
      </c>
      <c r="D4" s="30">
        <f ca="1">'Purchased Power Model'!E151</f>
        <v>516879092.70569378</v>
      </c>
      <c r="E4" s="30">
        <f ca="1">'Purchased Power Model'!E152</f>
        <v>523382420.53817517</v>
      </c>
      <c r="F4" s="30">
        <f ca="1">'Purchased Power Model'!E153</f>
        <v>534253964.71467674</v>
      </c>
      <c r="G4" s="30">
        <f ca="1">'Purchased Power Model'!E154</f>
        <v>528833762.9823004</v>
      </c>
      <c r="H4" s="30">
        <f ca="1">'Purchased Power Model'!E155</f>
        <v>525610329.21494138</v>
      </c>
      <c r="I4" s="30">
        <f ca="1">'Purchased Power Model'!E156</f>
        <v>498991221.69032222</v>
      </c>
      <c r="J4" s="30">
        <f ca="1">'Purchased Power Model'!E157</f>
        <v>519290313.29109013</v>
      </c>
      <c r="K4" s="30">
        <f ca="1">'Purchased Power Model'!E158</f>
        <v>513275674.65413427</v>
      </c>
    </row>
    <row r="5" spans="1:17" x14ac:dyDescent="0.25">
      <c r="A5" s="21" t="s">
        <v>62</v>
      </c>
      <c r="B5" s="30">
        <f ca="1">'Purchased Power Model'!S149</f>
        <v>524351932.95774496</v>
      </c>
      <c r="C5" s="30">
        <f ca="1">'Purchased Power Model'!S150</f>
        <v>523599233.53104627</v>
      </c>
      <c r="D5" s="30">
        <f ca="1">'Purchased Power Model'!S151</f>
        <v>521974135.96135008</v>
      </c>
      <c r="E5" s="30">
        <f ca="1">'Purchased Power Model'!S152</f>
        <v>518745461.96955585</v>
      </c>
      <c r="F5" s="30">
        <f ca="1">'Purchased Power Model'!S153</f>
        <v>524494184.94489396</v>
      </c>
      <c r="G5" s="30">
        <f ca="1">'Purchased Power Model'!S154</f>
        <v>524101364.03281069</v>
      </c>
      <c r="H5" s="30">
        <f ca="1">'Purchased Power Model'!S155</f>
        <v>531690575.14684153</v>
      </c>
      <c r="I5" s="30">
        <f ca="1">'Purchased Power Model'!S156</f>
        <v>509792411.85793579</v>
      </c>
      <c r="J5" s="30">
        <f ca="1">'Purchased Power Model'!S157</f>
        <v>520695613.63353944</v>
      </c>
      <c r="K5" s="30">
        <f ca="1">'Purchased Power Model'!S158</f>
        <v>508565138.61511779</v>
      </c>
      <c r="L5" s="30">
        <f ca="1">'Purchased Power Model'!S159</f>
        <v>512308865.63729048</v>
      </c>
      <c r="M5" s="30">
        <f ca="1">'Purchased Power Model'!S160</f>
        <v>510970437.8379153</v>
      </c>
    </row>
    <row r="6" spans="1:17" x14ac:dyDescent="0.25">
      <c r="A6" s="21" t="s">
        <v>10</v>
      </c>
      <c r="B6" s="42">
        <f t="shared" ref="B6:K6" ca="1" si="0">(B5-B4)/B4</f>
        <v>-2.578979677063158E-3</v>
      </c>
      <c r="C6" s="42">
        <f t="shared" ca="1" si="0"/>
        <v>-1.422396124216109E-3</v>
      </c>
      <c r="D6" s="42">
        <f t="shared" ca="1" si="0"/>
        <v>9.8573212334540552E-3</v>
      </c>
      <c r="E6" s="42">
        <f t="shared" ca="1" si="0"/>
        <v>-8.8595993802223893E-3</v>
      </c>
      <c r="F6" s="42">
        <f t="shared" ca="1" si="0"/>
        <v>-1.8268053050378544E-2</v>
      </c>
      <c r="G6" s="42">
        <f t="shared" ca="1" si="0"/>
        <v>-8.9487458644884246E-3</v>
      </c>
      <c r="H6" s="42">
        <f t="shared" ca="1" si="0"/>
        <v>1.1567972686118403E-2</v>
      </c>
      <c r="I6" s="42">
        <f t="shared" ca="1" si="0"/>
        <v>2.1646052471674275E-2</v>
      </c>
      <c r="J6" s="42">
        <f t="shared" ca="1" si="0"/>
        <v>2.7061940238071822E-3</v>
      </c>
      <c r="K6" s="42">
        <f t="shared" ca="1" si="0"/>
        <v>-9.1773997320068468E-3</v>
      </c>
    </row>
    <row r="7" spans="1:17" x14ac:dyDescent="0.25">
      <c r="A7" s="21" t="s">
        <v>214</v>
      </c>
      <c r="B7" s="42"/>
      <c r="C7" s="42"/>
      <c r="D7" s="42"/>
      <c r="E7" s="42"/>
      <c r="F7" s="42"/>
      <c r="G7" s="42"/>
      <c r="H7" s="42"/>
      <c r="I7" s="42"/>
      <c r="J7" s="42"/>
      <c r="K7" s="42"/>
      <c r="L7" s="37">
        <f ca="1">'Rate Class Energy Model'!O46*'Rate Class Energy Model'!F16</f>
        <v>0</v>
      </c>
      <c r="M7" s="37">
        <f ca="1">'Rate Class Energy Model'!O47*'Rate Class Energy Model'!F16</f>
        <v>0</v>
      </c>
    </row>
    <row r="8" spans="1:17" x14ac:dyDescent="0.25">
      <c r="A8" s="21" t="s">
        <v>216</v>
      </c>
      <c r="B8" s="42"/>
      <c r="C8" s="42"/>
      <c r="D8" s="42"/>
      <c r="E8" s="42"/>
      <c r="F8" s="42"/>
      <c r="G8" s="42"/>
      <c r="H8" s="42"/>
      <c r="I8" s="42"/>
      <c r="J8" s="42"/>
      <c r="K8" s="42"/>
      <c r="L8" s="37">
        <f ca="1">'Rate Class Energy Model'!O50*'Rate Class Energy Model'!F16</f>
        <v>-7367166.7364675067</v>
      </c>
      <c r="M8" s="37">
        <f ca="1">'Rate Class Energy Model'!O51*'Rate Class Energy Model'!F16</f>
        <v>-7367166.7364675067</v>
      </c>
    </row>
    <row r="9" spans="1:17" x14ac:dyDescent="0.25">
      <c r="A9" s="21" t="s">
        <v>215</v>
      </c>
      <c r="B9" s="42"/>
      <c r="C9" s="42"/>
      <c r="D9" s="42"/>
      <c r="E9" s="42"/>
      <c r="F9" s="42"/>
      <c r="G9" s="42"/>
      <c r="H9" s="42"/>
      <c r="I9" s="42"/>
      <c r="J9" s="42"/>
      <c r="K9" s="42"/>
      <c r="L9" s="81">
        <f ca="1">SUM(L5:L8)</f>
        <v>504941698.900823</v>
      </c>
      <c r="M9" s="81">
        <f ca="1">SUM(M5:M8)</f>
        <v>503603271.10144782</v>
      </c>
    </row>
    <row r="10" spans="1:17" x14ac:dyDescent="0.25">
      <c r="A10" s="21"/>
      <c r="B10" s="39"/>
      <c r="C10" s="39"/>
      <c r="D10" s="39"/>
      <c r="E10" s="39"/>
      <c r="F10" s="39"/>
      <c r="G10" s="52"/>
    </row>
    <row r="11" spans="1:17" x14ac:dyDescent="0.25">
      <c r="A11" s="21" t="s">
        <v>64</v>
      </c>
      <c r="B11" s="30">
        <f>'Rate Class Energy Model'!$G3</f>
        <v>491761404.63080317</v>
      </c>
      <c r="C11" s="30">
        <f>'Rate Class Energy Model'!$G4</f>
        <v>489371832</v>
      </c>
      <c r="D11" s="30">
        <f>'Rate Class Energy Model'!$G5</f>
        <v>488534313.33000195</v>
      </c>
      <c r="E11" s="30">
        <f>'Rate Class Energy Model'!$G6</f>
        <v>495520476.96950489</v>
      </c>
      <c r="F11" s="30">
        <f>'Rate Class Energy Model'!$G7</f>
        <v>501817329.813595</v>
      </c>
      <c r="G11" s="30">
        <f>'Rate Class Energy Model'!$G8</f>
        <v>510232246</v>
      </c>
      <c r="H11" s="30">
        <f>'Rate Class Energy Model'!$G9</f>
        <v>503249243</v>
      </c>
      <c r="I11" s="30">
        <f>'Rate Class Energy Model'!$G10</f>
        <v>481228433</v>
      </c>
      <c r="J11" s="30">
        <f>'Rate Class Energy Model'!$G11</f>
        <v>499443012</v>
      </c>
      <c r="K11" s="30">
        <f>'Rate Class Energy Model'!$G12</f>
        <v>493960560.70999932</v>
      </c>
      <c r="L11" s="30">
        <f ca="1">'Rate Class Energy Model'!O30</f>
        <v>480164045.60367233</v>
      </c>
      <c r="M11" s="30">
        <f ca="1">'Rate Class Energy Model'!O31</f>
        <v>478891294.89147049</v>
      </c>
      <c r="P11" s="122">
        <f ca="1">M9/M11</f>
        <v>1.0516024752873776</v>
      </c>
      <c r="Q11" s="122">
        <f ca="1">M5/M11</f>
        <v>1.0669862728528294</v>
      </c>
    </row>
    <row r="12" spans="1:17" x14ac:dyDescent="0.25">
      <c r="A12" s="21"/>
      <c r="B12" s="24"/>
      <c r="C12" s="24"/>
      <c r="D12" s="24"/>
      <c r="E12" s="24"/>
      <c r="L12" s="30"/>
      <c r="M12" s="30"/>
    </row>
    <row r="13" spans="1:17" ht="15.6" x14ac:dyDescent="0.3">
      <c r="A13" s="41" t="s">
        <v>63</v>
      </c>
    </row>
    <row r="14" spans="1:17" x14ac:dyDescent="0.25">
      <c r="A14" s="40" t="str">
        <f>'Rate Class Energy Model'!H2</f>
        <v>Residential</v>
      </c>
    </row>
    <row r="15" spans="1:17" x14ac:dyDescent="0.25">
      <c r="A15" t="s">
        <v>56</v>
      </c>
      <c r="B15" s="6">
        <f>'Rate Class Customer Model'!$B$3</f>
        <v>18866.499999999993</v>
      </c>
      <c r="C15" s="6">
        <f>'Rate Class Customer Model'!$B$4</f>
        <v>19136</v>
      </c>
      <c r="D15" s="6">
        <f>'Rate Class Customer Model'!$B$5</f>
        <v>19194</v>
      </c>
      <c r="E15" s="6">
        <f>'Rate Class Customer Model'!$B$6</f>
        <v>19511</v>
      </c>
      <c r="F15" s="6">
        <f>'Rate Class Customer Model'!$B$7</f>
        <v>19623</v>
      </c>
      <c r="G15" s="28">
        <f>'Rate Class Customer Model'!B8</f>
        <v>19801</v>
      </c>
      <c r="H15" s="28">
        <f>'Rate Class Customer Model'!B9</f>
        <v>20057</v>
      </c>
      <c r="I15" s="28">
        <f>'Rate Class Customer Model'!B10</f>
        <v>20188</v>
      </c>
      <c r="J15" s="28">
        <f>'Rate Class Customer Model'!B11</f>
        <v>20332</v>
      </c>
      <c r="K15" s="28">
        <f>'Rate Class Customer Model'!B12</f>
        <v>20476</v>
      </c>
      <c r="L15" s="28">
        <f>'Rate Class Customer Model'!B13</f>
        <v>20663.103021016646</v>
      </c>
      <c r="M15" s="28">
        <f>'Rate Class Customer Model'!B14</f>
        <v>20851.915728518619</v>
      </c>
      <c r="N15" s="81"/>
      <c r="O15" s="81">
        <f>(L15+M15)/2</f>
        <v>20757.509374767633</v>
      </c>
    </row>
    <row r="16" spans="1:17" x14ac:dyDescent="0.25">
      <c r="A16" t="s">
        <v>57</v>
      </c>
      <c r="B16" s="6">
        <f>'Rate Class Energy Model'!H3</f>
        <v>215023348.72000325</v>
      </c>
      <c r="C16" s="6">
        <f>'Rate Class Energy Model'!H4</f>
        <v>208222717</v>
      </c>
      <c r="D16" s="6">
        <f>'Rate Class Energy Model'!H5</f>
        <v>213770411.52000195</v>
      </c>
      <c r="E16" s="6">
        <f>'Rate Class Energy Model'!H6</f>
        <v>207797230.02000487</v>
      </c>
      <c r="F16" s="6">
        <f>'Rate Class Energy Model'!H7</f>
        <v>203392794</v>
      </c>
      <c r="G16" s="6">
        <f>'Rate Class Energy Model'!H8</f>
        <v>203353342</v>
      </c>
      <c r="H16" s="6">
        <f>'Rate Class Energy Model'!H9</f>
        <v>204439774</v>
      </c>
      <c r="I16" s="6">
        <f>'Rate Class Energy Model'!H10</f>
        <v>193694443</v>
      </c>
      <c r="J16" s="6">
        <f>'Rate Class Energy Model'!H11</f>
        <v>208411376</v>
      </c>
      <c r="K16" s="6">
        <f>'Rate Class Energy Model'!H12</f>
        <v>202110917.7699993</v>
      </c>
      <c r="L16" s="6">
        <f ca="1">'Rate Class Energy Model'!H30</f>
        <v>198997188.50858328</v>
      </c>
      <c r="M16" s="6">
        <f ca="1">'Rate Class Energy Model'!H31</f>
        <v>198793433.66028747</v>
      </c>
    </row>
    <row r="17" spans="1:15" x14ac:dyDescent="0.25">
      <c r="B17" s="24"/>
      <c r="C17" s="24"/>
      <c r="D17" s="24"/>
      <c r="E17" s="24"/>
    </row>
    <row r="18" spans="1:15" x14ac:dyDescent="0.25">
      <c r="A18" s="40" t="str">
        <f>'Rate Class Energy Model'!I2</f>
        <v>GS&lt;50</v>
      </c>
    </row>
    <row r="19" spans="1:15" x14ac:dyDescent="0.25">
      <c r="A19" t="s">
        <v>56</v>
      </c>
      <c r="B19" s="6">
        <f>'Rate Class Customer Model'!C3</f>
        <v>1605.5000000000005</v>
      </c>
      <c r="C19" s="6">
        <f>'Rate Class Customer Model'!C4</f>
        <v>1708</v>
      </c>
      <c r="D19" s="6">
        <f>'Rate Class Customer Model'!C5</f>
        <v>1710</v>
      </c>
      <c r="E19" s="6">
        <f>'Rate Class Customer Model'!C6</f>
        <v>1710</v>
      </c>
      <c r="F19" s="6">
        <f>'Rate Class Customer Model'!C7</f>
        <v>1701</v>
      </c>
      <c r="G19" s="28">
        <f>'Rate Class Customer Model'!C8</f>
        <v>1920</v>
      </c>
      <c r="H19" s="28">
        <f>'Rate Class Customer Model'!C9</f>
        <v>1844</v>
      </c>
      <c r="I19" s="28">
        <f>'Rate Class Customer Model'!C10</f>
        <v>1810</v>
      </c>
      <c r="J19" s="28">
        <f>'Rate Class Customer Model'!C11</f>
        <v>1895</v>
      </c>
      <c r="K19" s="28">
        <f>'Rate Class Customer Model'!C12</f>
        <v>1824</v>
      </c>
      <c r="L19" s="28">
        <f>'Rate Class Customer Model'!C13</f>
        <v>1850.0437694954837</v>
      </c>
      <c r="M19" s="28">
        <f>'Rate Class Customer Model'!C14</f>
        <v>1876.4594018909311</v>
      </c>
      <c r="O19" s="81">
        <f>(L19+M19)/2</f>
        <v>1863.2515856932073</v>
      </c>
    </row>
    <row r="20" spans="1:15" x14ac:dyDescent="0.25">
      <c r="A20" t="s">
        <v>57</v>
      </c>
      <c r="B20" s="6">
        <f>'Rate Class Energy Model'!I3</f>
        <v>54778252.31000001</v>
      </c>
      <c r="C20" s="6">
        <f>'Rate Class Energy Model'!I4</f>
        <v>56992328</v>
      </c>
      <c r="D20" s="6">
        <f>'Rate Class Energy Model'!I5</f>
        <v>56941927.850000031</v>
      </c>
      <c r="E20" s="6">
        <f>'Rate Class Energy Model'!I6</f>
        <v>56899094.840000011</v>
      </c>
      <c r="F20" s="6">
        <f>'Rate Class Energy Model'!I7</f>
        <v>51541092</v>
      </c>
      <c r="G20" s="6">
        <f>'Rate Class Energy Model'!I8</f>
        <v>50702250</v>
      </c>
      <c r="H20" s="6">
        <f>'Rate Class Energy Model'!I9</f>
        <v>51296823</v>
      </c>
      <c r="I20" s="6">
        <f>'Rate Class Energy Model'!I10</f>
        <v>50527239</v>
      </c>
      <c r="J20" s="6">
        <f>'Rate Class Energy Model'!I11</f>
        <v>51979121</v>
      </c>
      <c r="K20" s="6">
        <f>'Rate Class Energy Model'!I12</f>
        <v>50654667.66999992</v>
      </c>
      <c r="L20" s="6">
        <f ca="1">'Rate Class Energy Model'!I30</f>
        <v>50128347.261487253</v>
      </c>
      <c r="M20" s="6">
        <f ca="1">'Rate Class Energy Model'!I31</f>
        <v>50332120.752768181</v>
      </c>
    </row>
    <row r="21" spans="1:15" x14ac:dyDescent="0.25">
      <c r="B21" s="24"/>
      <c r="C21" s="24"/>
      <c r="D21" s="24"/>
      <c r="E21" s="24"/>
    </row>
    <row r="22" spans="1:15" x14ac:dyDescent="0.25">
      <c r="A22" s="40" t="str">
        <f>'Rate Class Energy Model'!J2</f>
        <v>GS&gt;50 to 999</v>
      </c>
      <c r="H22" s="6"/>
    </row>
    <row r="23" spans="1:15" x14ac:dyDescent="0.25">
      <c r="A23" t="s">
        <v>56</v>
      </c>
      <c r="B23" s="6">
        <f>'Rate Class Customer Model'!D3</f>
        <v>167.99999999999994</v>
      </c>
      <c r="C23" s="6">
        <f>'Rate Class Customer Model'!D4</f>
        <v>156</v>
      </c>
      <c r="D23" s="6">
        <f>'Rate Class Customer Model'!D5</f>
        <v>200</v>
      </c>
      <c r="E23" s="6">
        <f>'Rate Class Customer Model'!D6</f>
        <v>207</v>
      </c>
      <c r="F23" s="6">
        <f>'Rate Class Customer Model'!D7</f>
        <v>198</v>
      </c>
      <c r="G23" s="28">
        <f>'Rate Class Customer Model'!D8</f>
        <v>195</v>
      </c>
      <c r="H23" s="28">
        <f>'Rate Class Customer Model'!D9</f>
        <v>198</v>
      </c>
      <c r="I23" s="28">
        <f>'Rate Class Customer Model'!D10</f>
        <v>186</v>
      </c>
      <c r="J23" s="28">
        <f>'Rate Class Customer Model'!D11</f>
        <v>205</v>
      </c>
      <c r="K23" s="28">
        <f>'Rate Class Customer Model'!D12</f>
        <v>217</v>
      </c>
      <c r="L23" s="28">
        <f>'Rate Class Customer Model'!D13+2</f>
        <v>219</v>
      </c>
      <c r="M23" s="28">
        <f>'Rate Class Customer Model'!D14+2</f>
        <v>219</v>
      </c>
      <c r="O23" s="81">
        <f>(L23+M23)/2</f>
        <v>219</v>
      </c>
    </row>
    <row r="24" spans="1:15" x14ac:dyDescent="0.25">
      <c r="A24" t="s">
        <v>57</v>
      </c>
      <c r="B24" s="6">
        <f>'Rate Class Energy Model'!J3</f>
        <v>115517109.04079999</v>
      </c>
      <c r="C24" s="6">
        <f>'Rate Class Energy Model'!J4</f>
        <v>114834153</v>
      </c>
      <c r="D24" s="6">
        <f>'Rate Class Energy Model'!J5</f>
        <v>112013765.17000002</v>
      </c>
      <c r="E24" s="6">
        <f>'Rate Class Energy Model'!J6</f>
        <v>115098501.22</v>
      </c>
      <c r="F24" s="6">
        <f>'Rate Class Energy Model'!J7</f>
        <v>126051551</v>
      </c>
      <c r="G24" s="6">
        <f>'Rate Class Energy Model'!J8</f>
        <v>140066367</v>
      </c>
      <c r="H24" s="6">
        <f>'Rate Class Energy Model'!J9</f>
        <v>137289389</v>
      </c>
      <c r="I24" s="6">
        <f>'Rate Class Energy Model'!J10</f>
        <v>135373696</v>
      </c>
      <c r="J24" s="6">
        <f>'Rate Class Energy Model'!J11</f>
        <v>144914027</v>
      </c>
      <c r="K24" s="6">
        <f>'Rate Class Energy Model'!J12</f>
        <v>150365344.72</v>
      </c>
      <c r="L24" s="6">
        <f ca="1">'Rate Class Energy Model'!J30</f>
        <v>148641104.67093644</v>
      </c>
      <c r="M24" s="6">
        <f ca="1">'Rate Class Energy Model'!J31</f>
        <v>147533138.00472772</v>
      </c>
    </row>
    <row r="25" spans="1:15" x14ac:dyDescent="0.25">
      <c r="A25" t="s">
        <v>58</v>
      </c>
      <c r="B25" s="28">
        <f>'Rate Class Load Model'!B2</f>
        <v>320892.79120000004</v>
      </c>
      <c r="C25" s="28">
        <f>'Rate Class Load Model'!B3</f>
        <v>318710.76</v>
      </c>
      <c r="D25" s="28">
        <f>'Rate Class Load Model'!B4</f>
        <v>313359.68</v>
      </c>
      <c r="E25" s="28">
        <f>'Rate Class Load Model'!B5</f>
        <v>321135.30999999994</v>
      </c>
      <c r="F25" s="28">
        <f>'Rate Class Load Model'!B6</f>
        <v>362945.97000000003</v>
      </c>
      <c r="G25" s="6">
        <f>'Rate Class Load Model'!B7</f>
        <v>394735</v>
      </c>
      <c r="H25" s="6">
        <f>'Rate Class Load Model'!B8</f>
        <v>390924</v>
      </c>
      <c r="I25" s="6">
        <f>'Rate Class Load Model'!B9</f>
        <v>394783</v>
      </c>
      <c r="J25" s="6">
        <f>'Rate Class Load Model'!B10</f>
        <v>410875</v>
      </c>
      <c r="K25" s="6">
        <f>'Rate Class Load Model'!B11</f>
        <v>418610</v>
      </c>
      <c r="L25" s="6">
        <f ca="1">'Rate Class Load Model'!B12</f>
        <v>414750.46065269754</v>
      </c>
      <c r="M25" s="6">
        <f ca="1">'Rate Class Load Model'!B13</f>
        <v>411665.9339154677</v>
      </c>
    </row>
    <row r="26" spans="1:15" x14ac:dyDescent="0.25">
      <c r="B26" s="24"/>
      <c r="C26" s="24"/>
      <c r="D26" s="24"/>
      <c r="E26" s="24"/>
      <c r="F26" s="24"/>
    </row>
    <row r="27" spans="1:15" x14ac:dyDescent="0.25">
      <c r="A27" s="40" t="str">
        <f>'Rate Class Energy Model'!K2</f>
        <v>GS&gt; 1000 to 4999</v>
      </c>
      <c r="H27" s="6"/>
    </row>
    <row r="28" spans="1:15" x14ac:dyDescent="0.25">
      <c r="A28" t="s">
        <v>56</v>
      </c>
      <c r="B28" s="6">
        <f>'Rate Class Customer Model'!E3</f>
        <v>10.999999999999996</v>
      </c>
      <c r="C28" s="6">
        <f>'Rate Class Customer Model'!E4</f>
        <v>12</v>
      </c>
      <c r="D28" s="6">
        <f>'Rate Class Customer Model'!E5</f>
        <v>12</v>
      </c>
      <c r="E28" s="6">
        <f>'Rate Class Customer Model'!E6</f>
        <v>13</v>
      </c>
      <c r="F28" s="6">
        <f>'Rate Class Customer Model'!E7</f>
        <v>13.13</v>
      </c>
      <c r="G28" s="28">
        <f>'Rate Class Customer Model'!E8</f>
        <v>13</v>
      </c>
      <c r="H28" s="28">
        <f>'Rate Class Customer Model'!E9</f>
        <v>13</v>
      </c>
      <c r="I28" s="28">
        <f>'Rate Class Customer Model'!E10</f>
        <v>11</v>
      </c>
      <c r="J28" s="28">
        <f>'Rate Class Customer Model'!E11</f>
        <v>10</v>
      </c>
      <c r="K28" s="28">
        <f>'Rate Class Customer Model'!E12</f>
        <v>11</v>
      </c>
      <c r="L28" s="28">
        <f>'Rate Class Customer Model'!E13-2</f>
        <v>9</v>
      </c>
      <c r="M28" s="28">
        <f>'Rate Class Customer Model'!E14-2</f>
        <v>9</v>
      </c>
      <c r="O28" s="81">
        <f>(L28+M28)/2</f>
        <v>9</v>
      </c>
    </row>
    <row r="29" spans="1:15" x14ac:dyDescent="0.25">
      <c r="A29" t="s">
        <v>57</v>
      </c>
      <c r="B29" s="6">
        <f>'Rate Class Energy Model'!K3</f>
        <v>102247109.22999999</v>
      </c>
      <c r="C29" s="6">
        <f>'Rate Class Energy Model'!K4</f>
        <v>105252631</v>
      </c>
      <c r="D29" s="6">
        <f>'Rate Class Energy Model'!K5</f>
        <v>101713649.52</v>
      </c>
      <c r="E29" s="6">
        <f>'Rate Class Energy Model'!K6</f>
        <v>111612294.22000001</v>
      </c>
      <c r="F29" s="6">
        <f>'Rate Class Energy Model'!K7</f>
        <v>116678000</v>
      </c>
      <c r="G29" s="6">
        <f>'Rate Class Energy Model'!K8</f>
        <v>112112962</v>
      </c>
      <c r="H29" s="6">
        <f>'Rate Class Energy Model'!K9</f>
        <v>107193041</v>
      </c>
      <c r="I29" s="6">
        <f>'Rate Class Energy Model'!K10</f>
        <v>99309703</v>
      </c>
      <c r="J29" s="6">
        <f>'Rate Class Energy Model'!K11</f>
        <v>91829369</v>
      </c>
      <c r="K29" s="6">
        <f>'Rate Class Energy Model'!K12</f>
        <v>88636118.290000007</v>
      </c>
      <c r="L29" s="6">
        <f ca="1">'Rate Class Energy Model'!K30</f>
        <v>80203892.902665302</v>
      </c>
      <c r="M29" s="6">
        <f ca="1">'Rate Class Energy Model'!K31</f>
        <v>80039090.213687032</v>
      </c>
    </row>
    <row r="30" spans="1:15" x14ac:dyDescent="0.25">
      <c r="A30" t="s">
        <v>58</v>
      </c>
      <c r="B30" s="28">
        <f>'Rate Class Load Model'!C2</f>
        <v>285634.91000000003</v>
      </c>
      <c r="C30" s="28">
        <f>'Rate Class Load Model'!C3</f>
        <v>294618.27999999997</v>
      </c>
      <c r="D30" s="28">
        <f>'Rate Class Load Model'!C4</f>
        <v>289208.77999999997</v>
      </c>
      <c r="E30" s="28">
        <f>'Rate Class Load Model'!C5</f>
        <v>296491.61</v>
      </c>
      <c r="F30" s="28">
        <f>'Rate Class Load Model'!C6</f>
        <v>307814.96999999991</v>
      </c>
      <c r="G30" s="6">
        <f>'Rate Class Load Model'!C7</f>
        <v>289796</v>
      </c>
      <c r="H30" s="6">
        <f>'Rate Class Load Model'!C8</f>
        <v>273610</v>
      </c>
      <c r="I30" s="6">
        <f>'Rate Class Load Model'!C9</f>
        <v>262132</v>
      </c>
      <c r="J30" s="6">
        <f>'Rate Class Load Model'!C10</f>
        <v>248453</v>
      </c>
      <c r="K30" s="6">
        <f>'Rate Class Load Model'!C11</f>
        <v>219090.77000000002</v>
      </c>
      <c r="L30" s="6">
        <f ca="1">'Rate Class Load Model'!C12</f>
        <v>193436.28044630017</v>
      </c>
      <c r="M30" s="6">
        <f ca="1">'Rate Class Load Model'!C13</f>
        <v>193028.92113586434</v>
      </c>
    </row>
    <row r="31" spans="1:15" x14ac:dyDescent="0.25">
      <c r="B31" s="24"/>
      <c r="C31" s="24"/>
      <c r="D31" s="24"/>
      <c r="E31" s="24"/>
      <c r="F31" s="24"/>
    </row>
    <row r="32" spans="1:15" x14ac:dyDescent="0.25">
      <c r="A32" s="40" t="str">
        <f>'Rate Class Energy Model'!L2</f>
        <v>Sentinels</v>
      </c>
      <c r="H32" s="6"/>
    </row>
    <row r="33" spans="1:15" x14ac:dyDescent="0.25">
      <c r="A33" t="s">
        <v>72</v>
      </c>
      <c r="B33" s="28">
        <f>'Rate Class Customer Model'!F3</f>
        <v>327.50000000000011</v>
      </c>
      <c r="C33" s="28">
        <f>'Rate Class Customer Model'!F4</f>
        <v>161</v>
      </c>
      <c r="D33" s="28">
        <f>'Rate Class Customer Model'!F5</f>
        <v>153</v>
      </c>
      <c r="E33" s="28">
        <f>'Rate Class Customer Model'!F6</f>
        <v>177</v>
      </c>
      <c r="F33" s="28">
        <f>'Rate Class Customer Model'!F7</f>
        <v>170</v>
      </c>
      <c r="G33" s="6">
        <f>'Rate Class Customer Model'!F8</f>
        <v>172</v>
      </c>
      <c r="H33" s="6">
        <f>'Rate Class Customer Model'!F9</f>
        <v>170</v>
      </c>
      <c r="I33" s="6">
        <f>'Rate Class Customer Model'!F10</f>
        <v>173</v>
      </c>
      <c r="J33" s="6">
        <f>'Rate Class Customer Model'!F11</f>
        <v>175</v>
      </c>
      <c r="K33" s="6">
        <f>'Rate Class Customer Model'!F12</f>
        <v>175</v>
      </c>
      <c r="L33" s="6">
        <f>'Rate Class Customer Model'!F13</f>
        <v>175</v>
      </c>
      <c r="M33" s="6">
        <f>'Rate Class Customer Model'!F14</f>
        <v>175</v>
      </c>
      <c r="O33" s="81">
        <f>(L33+M33)/2</f>
        <v>175</v>
      </c>
    </row>
    <row r="34" spans="1:15" x14ac:dyDescent="0.25">
      <c r="A34" t="s">
        <v>57</v>
      </c>
      <c r="B34" s="6">
        <f>'Rate Class Energy Model'!L3</f>
        <v>571306.28</v>
      </c>
      <c r="C34" s="6">
        <f>'Rate Class Energy Model'!L4</f>
        <v>435096</v>
      </c>
      <c r="D34" s="6">
        <f>'Rate Class Energy Model'!L5</f>
        <v>439445.95</v>
      </c>
      <c r="E34" s="6">
        <f>'Rate Class Energy Model'!L6</f>
        <v>443840.40950000001</v>
      </c>
      <c r="F34" s="6">
        <f>'Rate Class Energy Model'!L7</f>
        <v>448278.81359500001</v>
      </c>
      <c r="G34" s="6">
        <f>'Rate Class Energy Model'!L8</f>
        <v>326944</v>
      </c>
      <c r="H34" s="6">
        <f>'Rate Class Energy Model'!L9</f>
        <v>273180</v>
      </c>
      <c r="I34" s="6">
        <f>'Rate Class Energy Model'!L10</f>
        <v>260238</v>
      </c>
      <c r="J34" s="6">
        <f>'Rate Class Energy Model'!L11</f>
        <v>261914</v>
      </c>
      <c r="K34" s="6">
        <f>'Rate Class Energy Model'!L12</f>
        <v>251878.97000000003</v>
      </c>
      <c r="L34" s="6">
        <f ca="1">'Rate Class Energy Model'!L30</f>
        <v>251878.97000000003</v>
      </c>
      <c r="M34" s="6">
        <f>'Rate Class Energy Model'!L27</f>
        <v>251878.97000000003</v>
      </c>
    </row>
    <row r="35" spans="1:15" x14ac:dyDescent="0.25">
      <c r="A35" t="s">
        <v>58</v>
      </c>
      <c r="B35" s="28">
        <f>'Rate Class Load Model'!D2</f>
        <v>585.82999999999993</v>
      </c>
      <c r="C35" s="28">
        <f>'Rate Class Load Model'!D3</f>
        <v>530.20999999999992</v>
      </c>
      <c r="D35" s="28">
        <f>'Rate Class Load Model'!D4</f>
        <v>649.59999999999991</v>
      </c>
      <c r="E35" s="28">
        <f>'Rate Class Load Model'!D5</f>
        <v>675.93</v>
      </c>
      <c r="F35" s="28">
        <f>'Rate Class Load Model'!D6</f>
        <v>703.32722429187197</v>
      </c>
      <c r="G35" s="6">
        <f>'Rate Class Load Model'!D7</f>
        <v>750</v>
      </c>
      <c r="H35" s="6">
        <f>'Rate Class Load Model'!D8</f>
        <v>739</v>
      </c>
      <c r="I35" s="6">
        <f>'Rate Class Load Model'!D9</f>
        <v>704</v>
      </c>
      <c r="J35" s="6">
        <f>'Rate Class Load Model'!D10</f>
        <v>695</v>
      </c>
      <c r="K35" s="6">
        <f>'Rate Class Load Model'!D11</f>
        <v>679.7399999999999</v>
      </c>
      <c r="L35" s="6">
        <f ca="1">'Rate Class Load Model'!D12</f>
        <v>679.7399999999999</v>
      </c>
      <c r="M35" s="6">
        <f ca="1">'Rate Class Load Model'!D13</f>
        <v>679.7399999999999</v>
      </c>
    </row>
    <row r="36" spans="1:15" x14ac:dyDescent="0.25">
      <c r="B36" s="6"/>
      <c r="C36" s="6"/>
      <c r="D36" s="6"/>
      <c r="E36" s="6"/>
      <c r="F36" s="6"/>
      <c r="G36" s="28"/>
      <c r="I36" s="6"/>
    </row>
    <row r="37" spans="1:15" x14ac:dyDescent="0.25">
      <c r="A37" s="40" t="str">
        <f>'Rate Class Energy Model'!M2</f>
        <v>Streetlights</v>
      </c>
    </row>
    <row r="38" spans="1:15" x14ac:dyDescent="0.25">
      <c r="A38" t="s">
        <v>72</v>
      </c>
      <c r="B38" s="28">
        <f>'Rate Class Customer Model'!G3</f>
        <v>4361.5</v>
      </c>
      <c r="C38" s="28">
        <f>'Rate Class Customer Model'!G4</f>
        <v>4387</v>
      </c>
      <c r="D38" s="28">
        <f>'Rate Class Customer Model'!G5</f>
        <v>4417</v>
      </c>
      <c r="E38" s="28">
        <f>'Rate Class Customer Model'!G6</f>
        <v>4477</v>
      </c>
      <c r="F38" s="28">
        <f>'Rate Class Customer Model'!G7</f>
        <v>4477</v>
      </c>
      <c r="G38" s="6">
        <f>'Rate Class Customer Model'!G8</f>
        <v>4595</v>
      </c>
      <c r="H38" s="6">
        <f>'Rate Class Customer Model'!G9</f>
        <v>4680</v>
      </c>
      <c r="I38" s="6">
        <f>'Rate Class Customer Model'!G10</f>
        <v>4674</v>
      </c>
      <c r="J38" s="6">
        <f>'Rate Class Customer Model'!G11</f>
        <v>4778</v>
      </c>
      <c r="K38" s="6">
        <f>'Rate Class Customer Model'!G12</f>
        <v>4833</v>
      </c>
      <c r="L38" s="6">
        <f>'Rate Class Customer Model'!G13</f>
        <v>4833</v>
      </c>
      <c r="M38" s="6">
        <f>'Rate Class Customer Model'!G14</f>
        <v>4833</v>
      </c>
      <c r="O38" s="81">
        <f>(L38+M38)/2</f>
        <v>4833</v>
      </c>
    </row>
    <row r="39" spans="1:15" x14ac:dyDescent="0.25">
      <c r="A39" t="s">
        <v>57</v>
      </c>
      <c r="B39" s="6">
        <f>'Rate Class Energy Model'!M3</f>
        <v>2708302.56</v>
      </c>
      <c r="C39" s="6">
        <f>'Rate Class Energy Model'!M4</f>
        <v>2743202</v>
      </c>
      <c r="D39" s="6">
        <f>'Rate Class Energy Model'!M5</f>
        <v>2762363.48</v>
      </c>
      <c r="E39" s="6">
        <f>'Rate Class Energy Model'!M6</f>
        <v>2769251.2600000002</v>
      </c>
      <c r="F39" s="6">
        <f>'Rate Class Energy Model'!M7</f>
        <v>2782603</v>
      </c>
      <c r="G39" s="6">
        <f>'Rate Class Energy Model'!M8</f>
        <v>2765164</v>
      </c>
      <c r="H39" s="6">
        <f>'Rate Class Energy Model'!M9</f>
        <v>1832979</v>
      </c>
      <c r="I39" s="6">
        <f>'Rate Class Energy Model'!M10</f>
        <v>1128400</v>
      </c>
      <c r="J39" s="6">
        <f>'Rate Class Energy Model'!M11</f>
        <v>1093732</v>
      </c>
      <c r="K39" s="6">
        <f>'Rate Class Energy Model'!M12</f>
        <v>979603.88</v>
      </c>
      <c r="L39" s="6">
        <f ca="1">'Rate Class Energy Model'!M30</f>
        <v>979603.88</v>
      </c>
      <c r="M39" s="64">
        <f ca="1">'Rate Class Energy Model'!M31</f>
        <v>979603.88</v>
      </c>
    </row>
    <row r="40" spans="1:15" x14ac:dyDescent="0.25">
      <c r="A40" t="s">
        <v>58</v>
      </c>
      <c r="B40" s="28">
        <f>'Rate Class Load Model'!E2</f>
        <v>7569.3000000000011</v>
      </c>
      <c r="C40" s="28">
        <f>'Rate Class Load Model'!E3</f>
        <v>7634.1600000000008</v>
      </c>
      <c r="D40" s="28">
        <f>'Rate Class Load Model'!E4</f>
        <v>7680.7800000000007</v>
      </c>
      <c r="E40" s="28">
        <f>'Rate Class Load Model'!E5</f>
        <v>7730.8799999999992</v>
      </c>
      <c r="F40" s="28">
        <f>'Rate Class Load Model'!E6</f>
        <v>7764.2099999999982</v>
      </c>
      <c r="G40" s="6">
        <f>'Rate Class Load Model'!E7</f>
        <v>7730</v>
      </c>
      <c r="H40" s="6">
        <f>'Rate Class Load Model'!E8</f>
        <v>5129</v>
      </c>
      <c r="I40" s="6">
        <f>'Rate Class Load Model'!E9</f>
        <v>3155</v>
      </c>
      <c r="J40" s="6">
        <f>'Rate Class Load Model'!E10</f>
        <v>3043</v>
      </c>
      <c r="K40" s="6">
        <f>'Rate Class Load Model'!E11</f>
        <v>3104.73</v>
      </c>
      <c r="L40" s="6">
        <f ca="1">'Rate Class Load Model'!E12</f>
        <v>3104.73</v>
      </c>
      <c r="M40" s="6">
        <f ca="1">'Rate Class Load Model'!E13</f>
        <v>3104.73</v>
      </c>
    </row>
    <row r="42" spans="1:15" x14ac:dyDescent="0.25">
      <c r="A42" s="40" t="str">
        <f>'Rate Class Energy Model'!N2</f>
        <v>USL</v>
      </c>
    </row>
    <row r="43" spans="1:15" x14ac:dyDescent="0.25">
      <c r="A43" t="s">
        <v>72</v>
      </c>
      <c r="B43" s="28">
        <f>'Rate Class Customer Model'!H3</f>
        <v>137.5</v>
      </c>
      <c r="C43" s="28">
        <f>'Rate Class Customer Model'!H4</f>
        <v>144</v>
      </c>
      <c r="D43" s="28">
        <f>'Rate Class Customer Model'!H5</f>
        <v>151</v>
      </c>
      <c r="E43" s="28">
        <f>'Rate Class Customer Model'!H6</f>
        <v>146</v>
      </c>
      <c r="F43" s="28">
        <f>'Rate Class Customer Model'!H7</f>
        <v>147.46</v>
      </c>
      <c r="G43" s="6">
        <f>'Rate Class Customer Model'!H8</f>
        <v>144</v>
      </c>
      <c r="H43" s="6">
        <f>'Rate Class Customer Model'!H9</f>
        <v>148</v>
      </c>
      <c r="I43" s="6">
        <f>'Rate Class Customer Model'!H10</f>
        <v>152</v>
      </c>
      <c r="J43" s="6">
        <f>'Rate Class Customer Model'!H11</f>
        <v>185</v>
      </c>
      <c r="K43" s="6">
        <f>'Rate Class Customer Model'!H12</f>
        <v>183</v>
      </c>
      <c r="L43" s="6">
        <f>'Rate Class Customer Model'!H13</f>
        <v>183</v>
      </c>
      <c r="M43" s="6">
        <f>'Rate Class Customer Model'!H14</f>
        <v>183</v>
      </c>
      <c r="O43" s="81">
        <f>(L43+M43)/2</f>
        <v>183</v>
      </c>
    </row>
    <row r="44" spans="1:15" x14ac:dyDescent="0.25">
      <c r="A44" t="s">
        <v>57</v>
      </c>
      <c r="B44" s="6">
        <f>'Rate Class Energy Model'!N3</f>
        <v>915976.48999999941</v>
      </c>
      <c r="C44" s="6">
        <f>'Rate Class Energy Model'!N4</f>
        <v>891705</v>
      </c>
      <c r="D44" s="6">
        <f>'Rate Class Energy Model'!N5</f>
        <v>892749.83999999973</v>
      </c>
      <c r="E44" s="6">
        <f>'Rate Class Energy Model'!N6</f>
        <v>900265</v>
      </c>
      <c r="F44" s="6">
        <f>'Rate Class Energy Model'!N7</f>
        <v>923011</v>
      </c>
      <c r="G44" s="6">
        <f>'Rate Class Energy Model'!N8</f>
        <v>905217</v>
      </c>
      <c r="H44" s="6">
        <f>'Rate Class Energy Model'!N9</f>
        <v>924057</v>
      </c>
      <c r="I44" s="6">
        <f>'Rate Class Energy Model'!N10</f>
        <v>934714</v>
      </c>
      <c r="J44" s="6">
        <f>'Rate Class Energy Model'!N11</f>
        <v>953473</v>
      </c>
      <c r="K44" s="6">
        <f>'Rate Class Energy Model'!N12</f>
        <v>962029.40999999968</v>
      </c>
      <c r="L44" s="6">
        <f ca="1">'Rate Class Energy Model'!N30</f>
        <v>962029.40999999968</v>
      </c>
      <c r="M44" s="6">
        <f ca="1">'Rate Class Energy Model'!N31</f>
        <v>962029.40999999968</v>
      </c>
    </row>
    <row r="45" spans="1:15" x14ac:dyDescent="0.25">
      <c r="B45" s="6"/>
      <c r="C45" s="6"/>
      <c r="D45" s="6"/>
      <c r="E45" s="6"/>
      <c r="L45" s="6"/>
      <c r="M45" s="6"/>
    </row>
    <row r="47" spans="1:15" x14ac:dyDescent="0.25">
      <c r="A47" s="40" t="s">
        <v>73</v>
      </c>
      <c r="B47" s="6"/>
      <c r="C47" s="6"/>
      <c r="D47" s="6"/>
      <c r="E47" s="6"/>
      <c r="G47" s="28"/>
    </row>
    <row r="48" spans="1:15" x14ac:dyDescent="0.25">
      <c r="A48" t="s">
        <v>60</v>
      </c>
      <c r="B48" s="6">
        <f t="shared" ref="B48:C48" si="1">B15+B19+B23+B28+B33+B38+B43</f>
        <v>25477.499999999993</v>
      </c>
      <c r="C48" s="6">
        <f t="shared" si="1"/>
        <v>25704</v>
      </c>
      <c r="D48" s="6">
        <f>D15+D19+D23+D28+D33+D38+D43</f>
        <v>25837</v>
      </c>
      <c r="E48" s="6">
        <f t="shared" ref="E48:M48" si="2">E15+E19+E23+E28+E33+E38+E43</f>
        <v>26241</v>
      </c>
      <c r="F48" s="6">
        <f t="shared" si="2"/>
        <v>26329.59</v>
      </c>
      <c r="G48" s="6">
        <f t="shared" si="2"/>
        <v>26840</v>
      </c>
      <c r="H48" s="6">
        <f t="shared" si="2"/>
        <v>27110</v>
      </c>
      <c r="I48" s="6">
        <f t="shared" si="2"/>
        <v>27194</v>
      </c>
      <c r="J48" s="6">
        <f t="shared" si="2"/>
        <v>27580</v>
      </c>
      <c r="K48" s="6">
        <f t="shared" si="2"/>
        <v>27719</v>
      </c>
      <c r="L48" s="6">
        <f t="shared" si="2"/>
        <v>27932.146790512132</v>
      </c>
      <c r="M48" s="6">
        <f t="shared" si="2"/>
        <v>28147.375130409549</v>
      </c>
    </row>
    <row r="49" spans="1:15" x14ac:dyDescent="0.25">
      <c r="A49" t="s">
        <v>57</v>
      </c>
      <c r="B49" s="6">
        <f t="shared" ref="B49:C49" si="3">B16+B20+B24+B29+B34+B39+B44</f>
        <v>491761404.63080317</v>
      </c>
      <c r="C49" s="6">
        <f t="shared" si="3"/>
        <v>489371832</v>
      </c>
      <c r="D49" s="6">
        <f>D16+D20+D24+D29+D34+D39+D44</f>
        <v>488534313.33000195</v>
      </c>
      <c r="E49" s="6">
        <f t="shared" ref="E49:K49" si="4">E16+E20+E24+E29+E34+E39+E44</f>
        <v>495520476.96950489</v>
      </c>
      <c r="F49" s="6">
        <f t="shared" si="4"/>
        <v>501817329.813595</v>
      </c>
      <c r="G49" s="6">
        <f t="shared" si="4"/>
        <v>510232246</v>
      </c>
      <c r="H49" s="6">
        <f t="shared" si="4"/>
        <v>503249243</v>
      </c>
      <c r="I49" s="6">
        <f t="shared" si="4"/>
        <v>481228433</v>
      </c>
      <c r="J49" s="6">
        <f t="shared" si="4"/>
        <v>499443012</v>
      </c>
      <c r="K49" s="6">
        <f t="shared" si="4"/>
        <v>493960560.70999932</v>
      </c>
      <c r="L49" s="6">
        <f ca="1">L16+L20+L24+L29+L34+L39+L44</f>
        <v>480164045.60367233</v>
      </c>
      <c r="M49" s="6">
        <f ca="1">M16+M20+M24+M29+M34+M39+M44</f>
        <v>478891294.89147049</v>
      </c>
    </row>
    <row r="50" spans="1:15" x14ac:dyDescent="0.25">
      <c r="A50" t="s">
        <v>59</v>
      </c>
      <c r="B50" s="6">
        <f>B25+B30+B35+B40</f>
        <v>614682.83120000002</v>
      </c>
      <c r="C50" s="6">
        <f>C25+C30+C35+C40</f>
        <v>621493.41</v>
      </c>
      <c r="D50" s="6">
        <f>D25+D30+D35+D40</f>
        <v>610898.84</v>
      </c>
      <c r="E50" s="6">
        <f t="shared" ref="E50:K50" si="5">E25+E30+E35+E40</f>
        <v>626033.73</v>
      </c>
      <c r="F50" s="6">
        <f t="shared" si="5"/>
        <v>679228.47722429177</v>
      </c>
      <c r="G50" s="6">
        <f t="shared" si="5"/>
        <v>693011</v>
      </c>
      <c r="H50" s="6">
        <f t="shared" si="5"/>
        <v>670402</v>
      </c>
      <c r="I50" s="6">
        <f t="shared" si="5"/>
        <v>660774</v>
      </c>
      <c r="J50" s="6">
        <f t="shared" si="5"/>
        <v>663066</v>
      </c>
      <c r="K50" s="6">
        <f t="shared" si="5"/>
        <v>641485.24</v>
      </c>
      <c r="L50" s="6">
        <f ca="1">L25+L30+L35+L40</f>
        <v>611971.21109899762</v>
      </c>
      <c r="M50" s="6">
        <f ca="1">M25+M30+M35+M40</f>
        <v>608479.32505133201</v>
      </c>
    </row>
    <row r="52" spans="1:15" x14ac:dyDescent="0.25">
      <c r="A52" s="40" t="s">
        <v>74</v>
      </c>
      <c r="H52" s="6"/>
    </row>
    <row r="53" spans="1:15" x14ac:dyDescent="0.25">
      <c r="A53" t="s">
        <v>60</v>
      </c>
      <c r="B53" s="6">
        <f>'Rate Class Customer Model'!I3</f>
        <v>25477.499999999993</v>
      </c>
      <c r="C53" s="6">
        <f>'Rate Class Customer Model'!I4</f>
        <v>25704</v>
      </c>
      <c r="D53" s="6">
        <f>'Rate Class Customer Model'!I5</f>
        <v>25837</v>
      </c>
      <c r="E53" s="6">
        <f>'Rate Class Customer Model'!I6</f>
        <v>26241</v>
      </c>
      <c r="F53" s="6">
        <f>'Rate Class Customer Model'!I7</f>
        <v>26329.59</v>
      </c>
      <c r="G53" s="6">
        <f>'Rate Class Customer Model'!I8</f>
        <v>26840</v>
      </c>
      <c r="H53" s="6">
        <f>'Rate Class Customer Model'!I9</f>
        <v>27110</v>
      </c>
      <c r="I53" s="6">
        <f>'Rate Class Customer Model'!I10</f>
        <v>27194</v>
      </c>
      <c r="J53" s="6">
        <f>'Rate Class Customer Model'!I11</f>
        <v>27580</v>
      </c>
      <c r="K53" s="6">
        <f>'Rate Class Customer Model'!I12</f>
        <v>27719</v>
      </c>
      <c r="L53" s="6">
        <f>'Rate Class Customer Model'!I13</f>
        <v>27932.146790512132</v>
      </c>
      <c r="M53" s="6">
        <f>'Rate Class Customer Model'!I14</f>
        <v>28147.375130409549</v>
      </c>
      <c r="O53" s="118">
        <f>SUM(O4:O52)</f>
        <v>28039.760960460841</v>
      </c>
    </row>
    <row r="54" spans="1:15" x14ac:dyDescent="0.25">
      <c r="A54" t="s">
        <v>57</v>
      </c>
      <c r="B54" s="6">
        <f>'Rate Class Energy Model'!G3</f>
        <v>491761404.63080317</v>
      </c>
      <c r="C54" s="6">
        <f>'Rate Class Energy Model'!G4</f>
        <v>489371832</v>
      </c>
      <c r="D54" s="6">
        <f>'Rate Class Energy Model'!G5</f>
        <v>488534313.33000195</v>
      </c>
      <c r="E54" s="6">
        <f>'Rate Class Energy Model'!G6</f>
        <v>495520476.96950489</v>
      </c>
      <c r="F54" s="6">
        <f>'Rate Class Energy Model'!G7</f>
        <v>501817329.813595</v>
      </c>
      <c r="G54" s="6">
        <f>'Rate Class Energy Model'!G8</f>
        <v>510232246</v>
      </c>
      <c r="H54" s="6">
        <f>'Rate Class Energy Model'!G9</f>
        <v>503249243</v>
      </c>
      <c r="I54" s="6">
        <f>'Rate Class Energy Model'!G10</f>
        <v>481228433</v>
      </c>
      <c r="J54" s="6">
        <f>'Rate Class Energy Model'!G11</f>
        <v>499443012</v>
      </c>
      <c r="K54" s="6">
        <f>'Rate Class Energy Model'!G12</f>
        <v>493960560.70999932</v>
      </c>
      <c r="L54" s="6">
        <f ca="1">'Rate Class Energy Model'!O30</f>
        <v>480164045.60367233</v>
      </c>
      <c r="M54" s="6">
        <f ca="1">'Rate Class Energy Model'!O31</f>
        <v>478891294.89147049</v>
      </c>
    </row>
    <row r="55" spans="1:15" x14ac:dyDescent="0.25">
      <c r="A55" t="s">
        <v>59</v>
      </c>
      <c r="B55" s="28">
        <f>'Rate Class Load Model'!F2</f>
        <v>614682.83120000002</v>
      </c>
      <c r="C55" s="28">
        <f>'Rate Class Load Model'!F3</f>
        <v>621493.41</v>
      </c>
      <c r="D55" s="28">
        <f>'Rate Class Load Model'!F4</f>
        <v>610898.84</v>
      </c>
      <c r="E55" s="28">
        <f>'Rate Class Load Model'!F5</f>
        <v>626033.73</v>
      </c>
      <c r="F55" s="28">
        <f>'Rate Class Load Model'!F6</f>
        <v>679228.47722429177</v>
      </c>
      <c r="G55" s="6">
        <f>'Rate Class Load Model'!F7</f>
        <v>693011</v>
      </c>
      <c r="H55" s="6">
        <f>'Rate Class Load Model'!F8</f>
        <v>670402</v>
      </c>
      <c r="I55" s="6">
        <f>'Rate Class Load Model'!F9</f>
        <v>660774</v>
      </c>
      <c r="J55" s="6">
        <f>'Rate Class Load Model'!F10</f>
        <v>663066</v>
      </c>
      <c r="K55" s="6">
        <f>'Rate Class Load Model'!F11</f>
        <v>641485.24</v>
      </c>
      <c r="L55" s="6">
        <f ca="1">'Rate Class Load Model'!F12</f>
        <v>611971.21109899762</v>
      </c>
      <c r="M55" s="6">
        <f ca="1">'Rate Class Load Model'!F13</f>
        <v>608479.32505133201</v>
      </c>
    </row>
    <row r="57" spans="1:15" x14ac:dyDescent="0.25">
      <c r="A57" s="40" t="s">
        <v>75</v>
      </c>
      <c r="B57" s="6"/>
      <c r="C57" s="6"/>
      <c r="D57" s="6"/>
      <c r="E57" s="6"/>
      <c r="F57" s="6"/>
      <c r="G57" s="6"/>
      <c r="H57" s="6"/>
    </row>
    <row r="58" spans="1:15" x14ac:dyDescent="0.25">
      <c r="A58" t="s">
        <v>60</v>
      </c>
      <c r="B58" s="6">
        <f>B48-B53</f>
        <v>0</v>
      </c>
      <c r="C58" s="6">
        <f t="shared" ref="C58:M58" si="6">C48-C53</f>
        <v>0</v>
      </c>
      <c r="D58" s="6">
        <f t="shared" si="6"/>
        <v>0</v>
      </c>
      <c r="E58" s="6">
        <f t="shared" si="6"/>
        <v>0</v>
      </c>
      <c r="F58" s="6">
        <f t="shared" si="6"/>
        <v>0</v>
      </c>
      <c r="G58" s="6">
        <f t="shared" si="6"/>
        <v>0</v>
      </c>
      <c r="H58" s="6">
        <f t="shared" si="6"/>
        <v>0</v>
      </c>
      <c r="I58" s="6">
        <f t="shared" si="6"/>
        <v>0</v>
      </c>
      <c r="J58" s="6">
        <f t="shared" si="6"/>
        <v>0</v>
      </c>
      <c r="K58" s="6">
        <f t="shared" si="6"/>
        <v>0</v>
      </c>
      <c r="L58" s="6">
        <f t="shared" si="6"/>
        <v>0</v>
      </c>
      <c r="M58" s="6">
        <f t="shared" si="6"/>
        <v>0</v>
      </c>
    </row>
    <row r="59" spans="1:15" x14ac:dyDescent="0.25">
      <c r="A59" t="s">
        <v>57</v>
      </c>
      <c r="B59" s="6">
        <f>B49-B54</f>
        <v>0</v>
      </c>
      <c r="C59" s="6">
        <f t="shared" ref="C59:K59" si="7">C49-C54</f>
        <v>0</v>
      </c>
      <c r="D59" s="6">
        <f t="shared" si="7"/>
        <v>0</v>
      </c>
      <c r="E59" s="6">
        <f t="shared" si="7"/>
        <v>0</v>
      </c>
      <c r="F59" s="6">
        <f t="shared" si="7"/>
        <v>0</v>
      </c>
      <c r="G59" s="6">
        <f t="shared" si="7"/>
        <v>0</v>
      </c>
      <c r="H59" s="6">
        <f t="shared" si="7"/>
        <v>0</v>
      </c>
      <c r="I59" s="6">
        <f t="shared" si="7"/>
        <v>0</v>
      </c>
      <c r="J59" s="6">
        <f t="shared" si="7"/>
        <v>0</v>
      </c>
      <c r="K59" s="6">
        <f t="shared" si="7"/>
        <v>0</v>
      </c>
      <c r="L59" s="6">
        <f ca="1">L49-L54</f>
        <v>0</v>
      </c>
      <c r="M59" s="6">
        <f ca="1">M49-M54</f>
        <v>0</v>
      </c>
    </row>
    <row r="60" spans="1:15" x14ac:dyDescent="0.25">
      <c r="A60" t="s">
        <v>59</v>
      </c>
      <c r="B60" s="6">
        <f>B50-B55</f>
        <v>0</v>
      </c>
      <c r="C60" s="6">
        <f t="shared" ref="C60:K60" si="8">C50-C55</f>
        <v>0</v>
      </c>
      <c r="D60" s="6">
        <f t="shared" si="8"/>
        <v>0</v>
      </c>
      <c r="E60" s="6">
        <f t="shared" si="8"/>
        <v>0</v>
      </c>
      <c r="F60" s="6">
        <f t="shared" si="8"/>
        <v>0</v>
      </c>
      <c r="G60" s="6">
        <f t="shared" si="8"/>
        <v>0</v>
      </c>
      <c r="H60" s="6">
        <f t="shared" si="8"/>
        <v>0</v>
      </c>
      <c r="I60" s="6">
        <f t="shared" si="8"/>
        <v>0</v>
      </c>
      <c r="J60" s="6">
        <f t="shared" si="8"/>
        <v>0</v>
      </c>
      <c r="K60" s="6">
        <f t="shared" si="8"/>
        <v>0</v>
      </c>
      <c r="L60" s="6">
        <f ca="1">L50-L55</f>
        <v>0</v>
      </c>
      <c r="M60" s="6">
        <f ca="1">M50-M55</f>
        <v>0</v>
      </c>
    </row>
    <row r="63" spans="1:15" x14ac:dyDescent="0.25">
      <c r="A63" t="s">
        <v>225</v>
      </c>
      <c r="G63" s="6">
        <f>G15+G19+G23+G28+G33+G43+1</f>
        <v>22246</v>
      </c>
      <c r="H63" s="6">
        <f t="shared" ref="H63:L63" si="9">H15+H19+H23+H28+H33+H43+1</f>
        <v>22431</v>
      </c>
      <c r="I63" s="6">
        <f t="shared" si="9"/>
        <v>22521</v>
      </c>
      <c r="J63" s="6">
        <f t="shared" si="9"/>
        <v>22803</v>
      </c>
      <c r="K63" s="6">
        <f t="shared" si="9"/>
        <v>22887</v>
      </c>
      <c r="L63" s="6">
        <f t="shared" si="9"/>
        <v>23100.146790512132</v>
      </c>
      <c r="O63" s="81"/>
    </row>
    <row r="65" spans="1:12" x14ac:dyDescent="0.25">
      <c r="A65" t="s">
        <v>226</v>
      </c>
      <c r="H65" s="6">
        <f>(H63+G63)/2</f>
        <v>22338.5</v>
      </c>
      <c r="I65" s="6">
        <f>(I63+H63)/2</f>
        <v>22476</v>
      </c>
      <c r="J65" s="6">
        <f>(J63+I63)/2</f>
        <v>22662</v>
      </c>
      <c r="K65" s="6">
        <f>(K63+J63)/2</f>
        <v>22845</v>
      </c>
      <c r="L65" s="6">
        <f>(L63+K63)/2</f>
        <v>22993.573395256066</v>
      </c>
    </row>
  </sheetData>
  <mergeCells count="1">
    <mergeCell ref="A1:L1"/>
  </mergeCells>
  <pageMargins left="0.38" right="0.75" top="0.73" bottom="0.74" header="0.5" footer="0.5"/>
  <pageSetup scale="5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2:AG153"/>
  <sheetViews>
    <sheetView topLeftCell="B1" workbookViewId="0"/>
  </sheetViews>
  <sheetFormatPr defaultColWidth="9.33203125" defaultRowHeight="13.2" x14ac:dyDescent="0.25"/>
  <cols>
    <col min="1" max="1" width="11.6640625" customWidth="1"/>
    <col min="2" max="2" width="18" style="6" customWidth="1"/>
    <col min="3" max="3" width="11.6640625" style="1" customWidth="1"/>
    <col min="4" max="4" width="13.44140625" style="1" customWidth="1"/>
    <col min="5" max="5" width="14.44140625" style="35" customWidth="1"/>
    <col min="6" max="6" width="10.33203125" style="1" customWidth="1"/>
    <col min="7" max="8" width="12.44140625" style="1" customWidth="1"/>
    <col min="9" max="9" width="13" style="1" customWidth="1"/>
    <col min="10" max="10" width="15.44140625" style="1" bestFit="1" customWidth="1"/>
    <col min="11" max="11" width="17" style="1" customWidth="1"/>
    <col min="12" max="12" width="12.44140625" style="1" customWidth="1"/>
    <col min="13" max="13" width="25.6640625" bestFit="1" customWidth="1"/>
    <col min="14" max="16" width="18" customWidth="1"/>
    <col min="17" max="17" width="17.33203125" customWidth="1"/>
    <col min="18" max="19" width="15.6640625" customWidth="1"/>
    <col min="20" max="20" width="15" customWidth="1"/>
    <col min="21" max="22" width="14.33203125" bestFit="1" customWidth="1"/>
    <col min="23" max="24" width="11.6640625" bestFit="1" customWidth="1"/>
    <col min="25" max="25" width="12.5546875" style="6" customWidth="1"/>
    <col min="26" max="26" width="11.33203125" style="6" customWidth="1"/>
    <col min="27" max="27" width="11.5546875" style="6" customWidth="1"/>
    <col min="28" max="28" width="9.33203125" style="6" customWidth="1"/>
    <col min="29" max="29" width="9.33203125" style="6"/>
    <col min="30" max="30" width="11.6640625" style="6" bestFit="1" customWidth="1"/>
    <col min="31" max="31" width="10.6640625" style="6" bestFit="1" customWidth="1"/>
    <col min="32" max="33" width="9.33203125" style="6"/>
  </cols>
  <sheetData>
    <row r="2" spans="1:27" ht="42" customHeight="1" x14ac:dyDescent="0.25">
      <c r="B2" s="7" t="s">
        <v>78</v>
      </c>
      <c r="C2" s="12" t="s">
        <v>3</v>
      </c>
      <c r="D2" s="12" t="s">
        <v>4</v>
      </c>
      <c r="E2" s="33" t="s">
        <v>7</v>
      </c>
      <c r="F2" s="12" t="s">
        <v>5</v>
      </c>
      <c r="G2" s="12" t="s">
        <v>26</v>
      </c>
      <c r="H2" s="12" t="s">
        <v>66</v>
      </c>
      <c r="I2" s="12" t="s">
        <v>6</v>
      </c>
      <c r="J2" s="12" t="s">
        <v>12</v>
      </c>
      <c r="K2" s="12" t="s">
        <v>13</v>
      </c>
      <c r="L2" s="12" t="s">
        <v>14</v>
      </c>
      <c r="M2" t="s">
        <v>27</v>
      </c>
      <c r="Y2" s="9"/>
      <c r="Z2" s="9"/>
      <c r="AA2" s="9"/>
    </row>
    <row r="3" spans="1:27" ht="13.8" thickBot="1" x14ac:dyDescent="0.3">
      <c r="A3" s="3">
        <v>37622</v>
      </c>
      <c r="B3" s="44">
        <v>8766427.7873398345</v>
      </c>
      <c r="C3" s="59">
        <v>829.5</v>
      </c>
      <c r="D3" s="59">
        <v>0</v>
      </c>
      <c r="E3" s="62">
        <v>125.66024937363977</v>
      </c>
      <c r="F3" s="61">
        <v>31</v>
      </c>
      <c r="G3" s="61">
        <v>0</v>
      </c>
      <c r="H3" s="45">
        <v>4331</v>
      </c>
      <c r="I3" s="61">
        <v>351.91199999999998</v>
      </c>
      <c r="J3" s="10">
        <f>$N$18+C3*$N$19+D3*$N$20+E3*$N$21+F3*$N$22+G3*$N$23+H3*$N$24+I3*$N$25</f>
        <v>13445972.367116263</v>
      </c>
      <c r="K3" s="10"/>
      <c r="L3" s="14"/>
    </row>
    <row r="4" spans="1:27" x14ac:dyDescent="0.25">
      <c r="A4" s="3">
        <v>37653</v>
      </c>
      <c r="B4" s="44">
        <v>13772520.128131574</v>
      </c>
      <c r="C4" s="59">
        <v>699.2</v>
      </c>
      <c r="D4" s="59">
        <v>0</v>
      </c>
      <c r="E4" s="62">
        <v>125.80592062045517</v>
      </c>
      <c r="F4" s="61">
        <v>28</v>
      </c>
      <c r="G4" s="61">
        <v>0</v>
      </c>
      <c r="H4" s="45">
        <v>4352</v>
      </c>
      <c r="I4" s="61">
        <v>319.87200000000001</v>
      </c>
      <c r="J4" s="10">
        <f t="shared" ref="J4:J67" si="0">$N$18+C4*$N$19+D4*$N$20+E4*$N$21+F4*$N$22+G4*$N$23+H4*$N$24+I4*$N$25</f>
        <v>13344680.981331848</v>
      </c>
      <c r="K4" s="10"/>
      <c r="L4" s="14"/>
      <c r="M4" s="50" t="s">
        <v>28</v>
      </c>
      <c r="N4" s="50"/>
    </row>
    <row r="5" spans="1:27" x14ac:dyDescent="0.25">
      <c r="A5" s="3">
        <v>37681</v>
      </c>
      <c r="B5" s="44">
        <v>14260346.567221265</v>
      </c>
      <c r="C5" s="59">
        <v>593.1</v>
      </c>
      <c r="D5" s="59">
        <v>0</v>
      </c>
      <c r="E5" s="62">
        <v>125.9517607362029</v>
      </c>
      <c r="F5" s="61">
        <v>31</v>
      </c>
      <c r="G5" s="61">
        <v>1</v>
      </c>
      <c r="H5" s="45">
        <v>4353</v>
      </c>
      <c r="I5" s="61">
        <v>336.28800000000001</v>
      </c>
      <c r="J5" s="10">
        <f t="shared" si="0"/>
        <v>12769512.222701717</v>
      </c>
      <c r="K5" s="10"/>
      <c r="L5" s="14"/>
      <c r="M5" s="36" t="s">
        <v>29</v>
      </c>
      <c r="N5" s="58">
        <v>0.66463921042193164</v>
      </c>
    </row>
    <row r="6" spans="1:27" x14ac:dyDescent="0.25">
      <c r="A6" s="3">
        <v>37712</v>
      </c>
      <c r="B6" s="44">
        <v>13389122.662076879</v>
      </c>
      <c r="C6" s="59">
        <v>387.1</v>
      </c>
      <c r="D6" s="59">
        <v>0</v>
      </c>
      <c r="E6" s="62">
        <v>126.09776991664374</v>
      </c>
      <c r="F6" s="61">
        <v>30</v>
      </c>
      <c r="G6" s="61">
        <v>1</v>
      </c>
      <c r="H6" s="45">
        <v>4347</v>
      </c>
      <c r="I6" s="61">
        <v>336.24</v>
      </c>
      <c r="J6" s="10">
        <f t="shared" si="0"/>
        <v>12470254.448429581</v>
      </c>
      <c r="K6" s="10"/>
      <c r="L6" s="14"/>
      <c r="M6" s="36" t="s">
        <v>30</v>
      </c>
      <c r="N6" s="58">
        <v>0.44174528003028873</v>
      </c>
    </row>
    <row r="7" spans="1:27" x14ac:dyDescent="0.25">
      <c r="A7" s="3">
        <v>37742</v>
      </c>
      <c r="B7" s="44">
        <v>12846440.734366035</v>
      </c>
      <c r="C7" s="59">
        <v>215.8</v>
      </c>
      <c r="D7" s="59">
        <v>0</v>
      </c>
      <c r="E7" s="62">
        <v>126.2439483577654</v>
      </c>
      <c r="F7" s="61">
        <v>31</v>
      </c>
      <c r="G7" s="61">
        <v>1</v>
      </c>
      <c r="H7" s="45">
        <v>4348</v>
      </c>
      <c r="I7" s="61">
        <v>336.28800000000001</v>
      </c>
      <c r="J7" s="10">
        <f t="shared" si="0"/>
        <v>12250853.987257116</v>
      </c>
      <c r="K7" s="10"/>
      <c r="L7" s="14"/>
      <c r="M7" s="36" t="s">
        <v>31</v>
      </c>
      <c r="N7" s="58">
        <v>0.39733865457815259</v>
      </c>
    </row>
    <row r="8" spans="1:27" x14ac:dyDescent="0.25">
      <c r="A8" s="3">
        <v>37773</v>
      </c>
      <c r="B8" s="44">
        <v>13136066.322432587</v>
      </c>
      <c r="C8" s="59">
        <v>54.5</v>
      </c>
      <c r="D8" s="59">
        <v>41.4</v>
      </c>
      <c r="E8" s="62">
        <v>126.3902962557828</v>
      </c>
      <c r="F8" s="61">
        <v>30</v>
      </c>
      <c r="G8" s="61">
        <v>0</v>
      </c>
      <c r="H8" s="45">
        <v>4355</v>
      </c>
      <c r="I8" s="61">
        <v>336.24</v>
      </c>
      <c r="J8" s="10">
        <f t="shared" si="0"/>
        <v>13282886.500449397</v>
      </c>
      <c r="K8" s="10"/>
      <c r="L8" s="14"/>
      <c r="M8" s="36" t="s">
        <v>32</v>
      </c>
      <c r="N8" s="63">
        <v>1031161.9197455636</v>
      </c>
    </row>
    <row r="9" spans="1:27" ht="13.8" thickBot="1" x14ac:dyDescent="0.3">
      <c r="A9" s="3">
        <v>37803</v>
      </c>
      <c r="B9" s="44">
        <v>15423366.972652514</v>
      </c>
      <c r="C9" s="59">
        <v>6.5</v>
      </c>
      <c r="D9" s="59">
        <v>83.9</v>
      </c>
      <c r="E9" s="62">
        <v>126.5368138071383</v>
      </c>
      <c r="F9" s="61">
        <v>31</v>
      </c>
      <c r="G9" s="61">
        <v>0</v>
      </c>
      <c r="H9" s="45">
        <v>4362</v>
      </c>
      <c r="I9" s="61">
        <v>351.91199999999998</v>
      </c>
      <c r="J9" s="10">
        <f t="shared" si="0"/>
        <v>14047490.372312138</v>
      </c>
      <c r="K9" s="10"/>
      <c r="L9" s="14"/>
      <c r="M9" s="48" t="s">
        <v>33</v>
      </c>
      <c r="N9" s="48">
        <v>96</v>
      </c>
    </row>
    <row r="10" spans="1:27" x14ac:dyDescent="0.25">
      <c r="A10" s="3">
        <v>37834</v>
      </c>
      <c r="B10" s="44">
        <v>14467180.01529929</v>
      </c>
      <c r="C10" s="59">
        <v>5.7</v>
      </c>
      <c r="D10" s="59">
        <v>102.6</v>
      </c>
      <c r="E10" s="62">
        <v>126.68350120850199</v>
      </c>
      <c r="F10" s="61">
        <v>31</v>
      </c>
      <c r="G10" s="61">
        <v>0</v>
      </c>
      <c r="H10" s="45">
        <v>4365</v>
      </c>
      <c r="I10" s="61">
        <v>319.92</v>
      </c>
      <c r="J10" s="10">
        <f t="shared" si="0"/>
        <v>14483757.112375934</v>
      </c>
      <c r="K10" s="10"/>
      <c r="L10" s="14"/>
    </row>
    <row r="11" spans="1:27" ht="13.8" thickBot="1" x14ac:dyDescent="0.3">
      <c r="A11" s="3">
        <v>37865</v>
      </c>
      <c r="B11" s="44">
        <v>13141414.955058327</v>
      </c>
      <c r="C11" s="59">
        <v>73.900000000000006</v>
      </c>
      <c r="D11" s="59">
        <v>14.8</v>
      </c>
      <c r="E11" s="62">
        <v>126.83035865677196</v>
      </c>
      <c r="F11" s="61">
        <v>30</v>
      </c>
      <c r="G11" s="61">
        <v>1</v>
      </c>
      <c r="H11" s="45">
        <v>4345</v>
      </c>
      <c r="I11" s="61">
        <v>336.24</v>
      </c>
      <c r="J11" s="10">
        <f t="shared" si="0"/>
        <v>12342253.918947589</v>
      </c>
      <c r="K11" s="10"/>
      <c r="L11" s="14"/>
      <c r="M11" t="s">
        <v>34</v>
      </c>
    </row>
    <row r="12" spans="1:27" x14ac:dyDescent="0.25">
      <c r="A12" s="3">
        <v>37895</v>
      </c>
      <c r="B12" s="44">
        <v>12701448.489194874</v>
      </c>
      <c r="C12" s="59">
        <v>293.5</v>
      </c>
      <c r="D12" s="59">
        <v>0</v>
      </c>
      <c r="E12" s="62">
        <v>126.97738634907456</v>
      </c>
      <c r="F12" s="61">
        <v>31</v>
      </c>
      <c r="G12" s="61">
        <v>1</v>
      </c>
      <c r="H12" s="45">
        <v>4355</v>
      </c>
      <c r="I12" s="61">
        <v>351.91199999999998</v>
      </c>
      <c r="J12" s="10">
        <f t="shared" si="0"/>
        <v>12351393.449069917</v>
      </c>
      <c r="K12" s="10"/>
      <c r="L12" s="14"/>
      <c r="M12" s="49"/>
      <c r="N12" s="49" t="s">
        <v>38</v>
      </c>
      <c r="O12" s="49" t="s">
        <v>39</v>
      </c>
      <c r="P12" s="49" t="s">
        <v>40</v>
      </c>
      <c r="Q12" s="49" t="s">
        <v>41</v>
      </c>
      <c r="R12" s="49" t="s">
        <v>42</v>
      </c>
    </row>
    <row r="13" spans="1:27" x14ac:dyDescent="0.25">
      <c r="A13" s="3">
        <v>37926</v>
      </c>
      <c r="B13" s="44">
        <v>12620157.611397972</v>
      </c>
      <c r="C13" s="59">
        <v>391.5</v>
      </c>
      <c r="D13" s="59">
        <v>0</v>
      </c>
      <c r="E13" s="62">
        <v>127.12458448276465</v>
      </c>
      <c r="F13" s="61">
        <v>30</v>
      </c>
      <c r="G13" s="61">
        <v>1</v>
      </c>
      <c r="H13" s="45">
        <v>4378</v>
      </c>
      <c r="I13" s="61">
        <v>319.68</v>
      </c>
      <c r="J13" s="10">
        <f t="shared" si="0"/>
        <v>12584375.728107225</v>
      </c>
      <c r="K13" s="10"/>
      <c r="L13" s="14"/>
      <c r="M13" s="36" t="s">
        <v>35</v>
      </c>
      <c r="N13" s="36">
        <v>7</v>
      </c>
      <c r="O13" s="36">
        <v>74041621146543.281</v>
      </c>
      <c r="P13" s="36">
        <v>10577374449506.184</v>
      </c>
      <c r="Q13" s="36">
        <v>9.9477335990420119</v>
      </c>
      <c r="R13" s="36">
        <v>4.3003116139729E-9</v>
      </c>
    </row>
    <row r="14" spans="1:27" x14ac:dyDescent="0.25">
      <c r="A14" s="3">
        <v>37956</v>
      </c>
      <c r="B14" s="44">
        <v>13513691.336775674</v>
      </c>
      <c r="C14" s="59">
        <v>571</v>
      </c>
      <c r="D14" s="59">
        <v>0</v>
      </c>
      <c r="E14" s="62">
        <v>127.27195325542573</v>
      </c>
      <c r="F14" s="61">
        <v>31</v>
      </c>
      <c r="G14" s="61">
        <v>0</v>
      </c>
      <c r="H14" s="45">
        <v>4390</v>
      </c>
      <c r="I14" s="61">
        <v>336.28800000000001</v>
      </c>
      <c r="J14" s="10">
        <f t="shared" si="0"/>
        <v>13263788.194173619</v>
      </c>
      <c r="K14" s="10"/>
      <c r="L14" s="14"/>
      <c r="M14" s="36" t="s">
        <v>36</v>
      </c>
      <c r="N14" s="36">
        <v>88</v>
      </c>
      <c r="O14" s="36">
        <v>93569951616535.344</v>
      </c>
      <c r="P14" s="36">
        <v>1063294904733.3562</v>
      </c>
      <c r="Q14" s="36"/>
      <c r="R14" s="36"/>
    </row>
    <row r="15" spans="1:27" ht="13.8" thickBot="1" x14ac:dyDescent="0.3">
      <c r="A15" s="3">
        <v>37987</v>
      </c>
      <c r="B15" s="44">
        <v>15223222.987186842</v>
      </c>
      <c r="C15" s="59">
        <v>859.1</v>
      </c>
      <c r="D15" s="59">
        <v>0</v>
      </c>
      <c r="E15" s="62">
        <v>127.53411264087498</v>
      </c>
      <c r="F15" s="61">
        <v>31</v>
      </c>
      <c r="G15" s="61">
        <v>0</v>
      </c>
      <c r="H15" s="45">
        <v>4382</v>
      </c>
      <c r="I15" s="61">
        <v>336.28800000000001</v>
      </c>
      <c r="J15" s="10">
        <f t="shared" si="0"/>
        <v>13644549.609203413</v>
      </c>
      <c r="K15" s="10"/>
      <c r="L15" s="14"/>
      <c r="M15" s="48" t="s">
        <v>11</v>
      </c>
      <c r="N15" s="48">
        <v>95</v>
      </c>
      <c r="O15" s="48">
        <v>167611572763078.63</v>
      </c>
      <c r="P15" s="48"/>
      <c r="Q15" s="48"/>
      <c r="R15" s="48"/>
    </row>
    <row r="16" spans="1:27" ht="13.8" thickBot="1" x14ac:dyDescent="0.3">
      <c r="A16" s="3">
        <v>38018</v>
      </c>
      <c r="B16" s="44">
        <v>13730710.786001146</v>
      </c>
      <c r="C16" s="59">
        <v>647.70000000000005</v>
      </c>
      <c r="D16" s="59">
        <v>0</v>
      </c>
      <c r="E16" s="62">
        <v>127.79681203173486</v>
      </c>
      <c r="F16" s="61">
        <v>29</v>
      </c>
      <c r="G16" s="61">
        <v>0</v>
      </c>
      <c r="H16" s="45">
        <v>4385</v>
      </c>
      <c r="I16" s="61">
        <v>320.16000000000003</v>
      </c>
      <c r="J16" s="10">
        <f t="shared" si="0"/>
        <v>13378688.360099593</v>
      </c>
      <c r="K16" s="10"/>
      <c r="L16" s="14"/>
    </row>
    <row r="17" spans="1:21" x14ac:dyDescent="0.25">
      <c r="A17" s="3">
        <v>38047</v>
      </c>
      <c r="B17" s="44">
        <v>13785424.039013196</v>
      </c>
      <c r="C17" s="59">
        <v>513.6</v>
      </c>
      <c r="D17" s="59">
        <v>0</v>
      </c>
      <c r="E17" s="62">
        <v>128.06005254032812</v>
      </c>
      <c r="F17" s="61">
        <v>31</v>
      </c>
      <c r="G17" s="61">
        <v>1</v>
      </c>
      <c r="H17" s="45">
        <v>4380</v>
      </c>
      <c r="I17" s="61">
        <v>368.28</v>
      </c>
      <c r="J17" s="10">
        <f t="shared" si="0"/>
        <v>12684621.981404588</v>
      </c>
      <c r="K17" s="10"/>
      <c r="L17" s="14"/>
      <c r="M17" s="49"/>
      <c r="N17" s="49" t="s">
        <v>43</v>
      </c>
      <c r="O17" s="49" t="s">
        <v>32</v>
      </c>
      <c r="P17" s="49" t="s">
        <v>44</v>
      </c>
      <c r="Q17" s="49" t="s">
        <v>45</v>
      </c>
      <c r="R17" s="49" t="s">
        <v>46</v>
      </c>
      <c r="S17" s="49" t="s">
        <v>47</v>
      </c>
      <c r="T17" s="49" t="s">
        <v>48</v>
      </c>
      <c r="U17" s="49" t="s">
        <v>49</v>
      </c>
    </row>
    <row r="18" spans="1:21" x14ac:dyDescent="0.25">
      <c r="A18" s="3">
        <v>38078</v>
      </c>
      <c r="B18" s="44">
        <v>12210311.981258366</v>
      </c>
      <c r="C18" s="59">
        <v>329.3</v>
      </c>
      <c r="D18" s="59">
        <v>0</v>
      </c>
      <c r="E18" s="62">
        <v>128.32383528126866</v>
      </c>
      <c r="F18" s="61">
        <v>30</v>
      </c>
      <c r="G18" s="61">
        <v>1</v>
      </c>
      <c r="H18" s="45">
        <v>4373</v>
      </c>
      <c r="I18" s="61">
        <v>336.24</v>
      </c>
      <c r="J18" s="10">
        <f t="shared" si="0"/>
        <v>12476746.604031194</v>
      </c>
      <c r="K18" s="10"/>
      <c r="L18" s="14"/>
      <c r="M18" s="36" t="s">
        <v>37</v>
      </c>
      <c r="N18" s="54">
        <v>2350315.4075402073</v>
      </c>
      <c r="O18" s="36">
        <v>5250702.8626346197</v>
      </c>
      <c r="P18" s="54">
        <v>0.44761919861542132</v>
      </c>
      <c r="Q18" s="36">
        <v>0.65552799483097191</v>
      </c>
      <c r="R18" s="36">
        <v>-8084352.9556825515</v>
      </c>
      <c r="S18" s="36">
        <v>12784983.770762967</v>
      </c>
      <c r="T18" s="36">
        <v>-8084352.9556825515</v>
      </c>
      <c r="U18" s="36">
        <v>12784983.770762967</v>
      </c>
    </row>
    <row r="19" spans="1:21" x14ac:dyDescent="0.25">
      <c r="A19" s="3">
        <v>38108</v>
      </c>
      <c r="B19" s="44">
        <v>12430459.122203099</v>
      </c>
      <c r="C19" s="59">
        <v>164.1</v>
      </c>
      <c r="D19" s="59">
        <v>14.2</v>
      </c>
      <c r="E19" s="62">
        <v>128.58816137146633</v>
      </c>
      <c r="F19" s="61">
        <v>31</v>
      </c>
      <c r="G19" s="61">
        <v>1</v>
      </c>
      <c r="H19" s="45">
        <v>4366</v>
      </c>
      <c r="I19" s="61">
        <v>319.92</v>
      </c>
      <c r="J19" s="10">
        <f t="shared" si="0"/>
        <v>12562627.802192461</v>
      </c>
      <c r="K19" s="10"/>
      <c r="L19" s="14"/>
      <c r="M19" s="36" t="s">
        <v>3</v>
      </c>
      <c r="N19" s="54">
        <v>1361.1302091657085</v>
      </c>
      <c r="O19" s="36">
        <v>750.70981392479882</v>
      </c>
      <c r="P19" s="54">
        <v>1.8131243043827552</v>
      </c>
      <c r="Q19" s="36">
        <v>7.3221974786654251E-2</v>
      </c>
      <c r="R19" s="36">
        <v>-130.74776417506655</v>
      </c>
      <c r="S19" s="36">
        <v>2853.0081825064835</v>
      </c>
      <c r="T19" s="36">
        <v>-130.74776417506655</v>
      </c>
      <c r="U19" s="36">
        <v>2853.0081825064835</v>
      </c>
    </row>
    <row r="20" spans="1:21" x14ac:dyDescent="0.25">
      <c r="A20" s="3">
        <v>38139</v>
      </c>
      <c r="B20" s="44">
        <v>12752424.249378465</v>
      </c>
      <c r="C20" s="59">
        <v>60.1</v>
      </c>
      <c r="D20" s="59">
        <v>29.2</v>
      </c>
      <c r="E20" s="62">
        <v>128.85303193013166</v>
      </c>
      <c r="F20" s="61">
        <v>30</v>
      </c>
      <c r="G20" s="61">
        <v>0</v>
      </c>
      <c r="H20" s="45">
        <v>4367</v>
      </c>
      <c r="I20" s="61">
        <v>352.08</v>
      </c>
      <c r="J20" s="10">
        <f t="shared" si="0"/>
        <v>13081976.582501527</v>
      </c>
      <c r="K20" s="10"/>
      <c r="L20" s="14"/>
      <c r="M20" s="36" t="s">
        <v>4</v>
      </c>
      <c r="N20" s="54">
        <v>19642.533038640828</v>
      </c>
      <c r="O20" s="36">
        <v>6132.3215452986287</v>
      </c>
      <c r="P20" s="54">
        <v>3.2031153118022426</v>
      </c>
      <c r="Q20" s="36">
        <v>1.8933754508114998E-3</v>
      </c>
      <c r="R20" s="36">
        <v>7455.8328394736654</v>
      </c>
      <c r="S20" s="36">
        <v>31829.233237807988</v>
      </c>
      <c r="T20" s="36">
        <v>7455.8328394736654</v>
      </c>
      <c r="U20" s="36">
        <v>31829.233237807988</v>
      </c>
    </row>
    <row r="21" spans="1:21" x14ac:dyDescent="0.25">
      <c r="A21" s="3">
        <v>38169</v>
      </c>
      <c r="B21" s="44">
        <v>13991456.942053929</v>
      </c>
      <c r="C21" s="59">
        <v>7.7</v>
      </c>
      <c r="D21" s="59">
        <v>71.599999999999994</v>
      </c>
      <c r="E21" s="62">
        <v>129.11844807878055</v>
      </c>
      <c r="F21" s="61">
        <v>31</v>
      </c>
      <c r="G21" s="61">
        <v>0</v>
      </c>
      <c r="H21" s="45">
        <v>4362</v>
      </c>
      <c r="I21" s="61">
        <v>336.28800000000001</v>
      </c>
      <c r="J21" s="10">
        <f t="shared" si="0"/>
        <v>13878178.446605712</v>
      </c>
      <c r="K21" s="10"/>
      <c r="L21" s="14"/>
      <c r="M21" s="36" t="s">
        <v>7</v>
      </c>
      <c r="N21" s="54">
        <v>15652.54468167708</v>
      </c>
      <c r="O21" s="36">
        <v>37775.077478728039</v>
      </c>
      <c r="P21" s="54">
        <v>0.41436168305654347</v>
      </c>
      <c r="Q21" s="36">
        <v>0.67961754590573187</v>
      </c>
      <c r="R21" s="36">
        <v>-59417.482359958078</v>
      </c>
      <c r="S21" s="36">
        <v>90722.571723312241</v>
      </c>
      <c r="T21" s="36">
        <v>-59417.482359958078</v>
      </c>
      <c r="U21" s="36">
        <v>90722.571723312241</v>
      </c>
    </row>
    <row r="22" spans="1:21" x14ac:dyDescent="0.25">
      <c r="A22" s="3">
        <v>38200</v>
      </c>
      <c r="B22" s="44">
        <v>13708660.288774144</v>
      </c>
      <c r="C22" s="59">
        <v>28.9</v>
      </c>
      <c r="D22" s="59">
        <v>40</v>
      </c>
      <c r="E22" s="62">
        <v>129.38441094123903</v>
      </c>
      <c r="F22" s="61">
        <v>31</v>
      </c>
      <c r="G22" s="61">
        <v>0</v>
      </c>
      <c r="H22" s="45">
        <v>4372</v>
      </c>
      <c r="I22" s="61">
        <v>336.28800000000001</v>
      </c>
      <c r="J22" s="10">
        <f t="shared" si="0"/>
        <v>13309847.933263915</v>
      </c>
      <c r="K22" s="10"/>
      <c r="L22" s="14"/>
      <c r="M22" s="36" t="s">
        <v>5</v>
      </c>
      <c r="N22" s="54">
        <v>9630.5516526737811</v>
      </c>
      <c r="O22" s="36">
        <v>141409.49831266684</v>
      </c>
      <c r="P22" s="54">
        <v>6.810399419832408E-2</v>
      </c>
      <c r="Q22" s="36">
        <v>0.94585735653415837</v>
      </c>
      <c r="R22" s="36">
        <v>-271391.10523880029</v>
      </c>
      <c r="S22" s="36">
        <v>290652.2085441479</v>
      </c>
      <c r="T22" s="36">
        <v>-271391.10523880029</v>
      </c>
      <c r="U22" s="36">
        <v>290652.2085441479</v>
      </c>
    </row>
    <row r="23" spans="1:21" x14ac:dyDescent="0.25">
      <c r="A23" s="3">
        <v>38231</v>
      </c>
      <c r="B23" s="44">
        <v>13169571.964046661</v>
      </c>
      <c r="C23" s="59">
        <v>43.9</v>
      </c>
      <c r="D23" s="59">
        <v>31.2</v>
      </c>
      <c r="E23" s="62">
        <v>129.65092164364802</v>
      </c>
      <c r="F23" s="61">
        <v>30</v>
      </c>
      <c r="G23" s="61">
        <v>1</v>
      </c>
      <c r="H23" s="45">
        <v>4374</v>
      </c>
      <c r="I23" s="61">
        <v>336.24</v>
      </c>
      <c r="J23" s="10">
        <f t="shared" si="0"/>
        <v>12723834.809190145</v>
      </c>
      <c r="K23" s="10"/>
      <c r="L23" s="14"/>
      <c r="M23" s="36" t="s">
        <v>26</v>
      </c>
      <c r="N23" s="54">
        <v>-432080.65046934417</v>
      </c>
      <c r="O23" s="36">
        <v>312947.97983007506</v>
      </c>
      <c r="P23" s="54">
        <v>-1.38067882944621</v>
      </c>
      <c r="Q23" s="36">
        <v>0.17087446518499472</v>
      </c>
      <c r="R23" s="36">
        <v>-1053998.9859564984</v>
      </c>
      <c r="S23" s="36">
        <v>189837.68501781003</v>
      </c>
      <c r="T23" s="36">
        <v>-1053998.9859564984</v>
      </c>
      <c r="U23" s="36">
        <v>189837.68501781003</v>
      </c>
    </row>
    <row r="24" spans="1:21" x14ac:dyDescent="0.25">
      <c r="A24" s="3">
        <v>38261</v>
      </c>
      <c r="B24" s="44">
        <v>12461257.65920826</v>
      </c>
      <c r="C24" s="59">
        <v>253.5</v>
      </c>
      <c r="D24" s="59">
        <v>0</v>
      </c>
      <c r="E24" s="62">
        <v>129.91798131446814</v>
      </c>
      <c r="F24" s="61">
        <v>31</v>
      </c>
      <c r="G24" s="61">
        <v>1</v>
      </c>
      <c r="H24" s="45">
        <v>4362</v>
      </c>
      <c r="I24" s="61">
        <v>319.92</v>
      </c>
      <c r="J24" s="10">
        <f t="shared" si="0"/>
        <v>12418462.109956942</v>
      </c>
      <c r="K24" s="10"/>
      <c r="L24" s="14"/>
      <c r="M24" s="36" t="s">
        <v>66</v>
      </c>
      <c r="N24" s="54">
        <v>1935.4574656640025</v>
      </c>
      <c r="O24" s="36">
        <v>692.51725097484484</v>
      </c>
      <c r="P24" s="54">
        <v>2.7948148048867978</v>
      </c>
      <c r="Q24" s="36">
        <v>6.3737682555808951E-3</v>
      </c>
      <c r="R24" s="36">
        <v>559.22498045584894</v>
      </c>
      <c r="S24" s="36">
        <v>3311.6899508721563</v>
      </c>
      <c r="T24" s="36">
        <v>559.22498045584894</v>
      </c>
      <c r="U24" s="36">
        <v>3311.6899508721563</v>
      </c>
    </row>
    <row r="25" spans="1:21" ht="13.8" thickBot="1" x14ac:dyDescent="0.3">
      <c r="A25" s="3">
        <v>38292</v>
      </c>
      <c r="B25" s="44">
        <v>12515465.088927137</v>
      </c>
      <c r="C25" s="59">
        <v>396</v>
      </c>
      <c r="D25" s="59">
        <v>0</v>
      </c>
      <c r="E25" s="62">
        <v>130.18559108448443</v>
      </c>
      <c r="F25" s="61">
        <v>30</v>
      </c>
      <c r="G25" s="61">
        <v>1</v>
      </c>
      <c r="H25" s="45">
        <v>4372</v>
      </c>
      <c r="I25" s="61">
        <v>352.08</v>
      </c>
      <c r="J25" s="10">
        <f t="shared" si="0"/>
        <v>12564072.833595436</v>
      </c>
      <c r="K25" s="10"/>
      <c r="L25" s="14"/>
      <c r="M25" s="48" t="s">
        <v>6</v>
      </c>
      <c r="N25" s="55">
        <v>-1936.0425389931652</v>
      </c>
      <c r="O25" s="48">
        <v>6805.2647443076012</v>
      </c>
      <c r="P25" s="55">
        <v>-0.28449187676535381</v>
      </c>
      <c r="Q25" s="48">
        <v>0.77670184439807011</v>
      </c>
      <c r="R25" s="48">
        <v>-15460.075909099174</v>
      </c>
      <c r="S25" s="48">
        <v>11587.990831112846</v>
      </c>
      <c r="T25" s="48">
        <v>-15460.075909099174</v>
      </c>
      <c r="U25" s="48">
        <v>11587.990831112846</v>
      </c>
    </row>
    <row r="26" spans="1:21" x14ac:dyDescent="0.25">
      <c r="A26" s="3">
        <v>38322</v>
      </c>
      <c r="B26" s="44">
        <v>14058095.917001337</v>
      </c>
      <c r="C26" s="59">
        <v>636.70000000000005</v>
      </c>
      <c r="D26" s="59">
        <v>0</v>
      </c>
      <c r="E26" s="62">
        <v>130.45375208681136</v>
      </c>
      <c r="F26" s="61">
        <v>31</v>
      </c>
      <c r="G26" s="61">
        <v>0</v>
      </c>
      <c r="H26" s="45">
        <v>4381</v>
      </c>
      <c r="I26" s="61">
        <v>336.28800000000001</v>
      </c>
      <c r="J26" s="10">
        <f t="shared" si="0"/>
        <v>13385598.580101203</v>
      </c>
      <c r="K26" s="10"/>
      <c r="L26" s="14"/>
    </row>
    <row r="27" spans="1:21" x14ac:dyDescent="0.25">
      <c r="A27" s="3">
        <v>38353</v>
      </c>
      <c r="B27" s="44">
        <v>8119792.3790399684</v>
      </c>
      <c r="C27" s="59">
        <v>765.8</v>
      </c>
      <c r="D27" s="59">
        <v>0</v>
      </c>
      <c r="E27" s="62">
        <v>130.74370215685079</v>
      </c>
      <c r="F27" s="61">
        <v>31</v>
      </c>
      <c r="G27" s="61">
        <v>0</v>
      </c>
      <c r="H27" s="45">
        <v>4398</v>
      </c>
      <c r="I27" s="61">
        <v>319.92</v>
      </c>
      <c r="J27" s="10">
        <f t="shared" si="0"/>
        <v>13630450.867725771</v>
      </c>
      <c r="K27" s="10"/>
      <c r="L27" s="14"/>
    </row>
    <row r="28" spans="1:21" x14ac:dyDescent="0.25">
      <c r="A28" s="3">
        <v>38384</v>
      </c>
      <c r="B28" s="44">
        <v>13584680.06310958</v>
      </c>
      <c r="C28" s="59">
        <v>641.70000000000005</v>
      </c>
      <c r="D28" s="59">
        <v>0</v>
      </c>
      <c r="E28" s="62">
        <v>131.0342966778299</v>
      </c>
      <c r="F28" s="61">
        <v>28</v>
      </c>
      <c r="G28" s="61">
        <v>0</v>
      </c>
      <c r="H28" s="45">
        <v>4398</v>
      </c>
      <c r="I28" s="61">
        <v>319.87200000000001</v>
      </c>
      <c r="J28" s="10">
        <f t="shared" si="0"/>
        <v>13437284.427576032</v>
      </c>
      <c r="K28" s="10"/>
      <c r="L28" s="14"/>
    </row>
    <row r="29" spans="1:21" x14ac:dyDescent="0.25">
      <c r="A29" s="3">
        <v>38412</v>
      </c>
      <c r="B29" s="44">
        <v>13362329.632816982</v>
      </c>
      <c r="C29" s="59">
        <v>646.9</v>
      </c>
      <c r="D29" s="59">
        <v>0</v>
      </c>
      <c r="E29" s="62">
        <v>131.32553708212293</v>
      </c>
      <c r="F29" s="61">
        <v>31</v>
      </c>
      <c r="G29" s="61">
        <v>1</v>
      </c>
      <c r="H29" s="45">
        <v>4397</v>
      </c>
      <c r="I29" s="61">
        <v>351.91199999999998</v>
      </c>
      <c r="J29" s="10">
        <f t="shared" si="0"/>
        <v>12981765.702178674</v>
      </c>
      <c r="K29" s="10"/>
      <c r="L29" s="14"/>
    </row>
    <row r="30" spans="1:21" x14ac:dyDescent="0.25">
      <c r="A30" s="3">
        <v>38443</v>
      </c>
      <c r="B30" s="44">
        <v>12199755.517307324</v>
      </c>
      <c r="C30" s="59">
        <v>339</v>
      </c>
      <c r="D30" s="59">
        <v>0</v>
      </c>
      <c r="E30" s="62">
        <v>131.61742480528775</v>
      </c>
      <c r="F30" s="61">
        <v>30</v>
      </c>
      <c r="G30" s="61">
        <v>1</v>
      </c>
      <c r="H30" s="45">
        <v>4399</v>
      </c>
      <c r="I30" s="61">
        <v>336.24</v>
      </c>
      <c r="J30" s="10">
        <f t="shared" si="0"/>
        <v>12591824.518355176</v>
      </c>
      <c r="K30" s="10"/>
      <c r="L30" s="14"/>
    </row>
    <row r="31" spans="1:21" x14ac:dyDescent="0.25">
      <c r="A31" s="3">
        <v>38473</v>
      </c>
      <c r="B31" s="44">
        <v>12102963.492063493</v>
      </c>
      <c r="C31" s="59">
        <v>212.7</v>
      </c>
      <c r="D31" s="59">
        <v>0</v>
      </c>
      <c r="E31" s="62">
        <v>131.90996128607298</v>
      </c>
      <c r="F31" s="61">
        <v>31</v>
      </c>
      <c r="G31" s="61">
        <v>1</v>
      </c>
      <c r="H31" s="45">
        <v>4391</v>
      </c>
      <c r="I31" s="61">
        <v>336.28800000000001</v>
      </c>
      <c r="J31" s="10">
        <f t="shared" si="0"/>
        <v>12418546.675159547</v>
      </c>
      <c r="K31" s="10"/>
      <c r="L31" s="14"/>
    </row>
    <row r="32" spans="1:21" x14ac:dyDescent="0.25">
      <c r="A32" s="3">
        <v>38504</v>
      </c>
      <c r="B32" s="44">
        <v>15227134.557276726</v>
      </c>
      <c r="C32" s="59">
        <v>13.1</v>
      </c>
      <c r="D32" s="59">
        <v>119.6</v>
      </c>
      <c r="E32" s="62">
        <v>132.20314796642501</v>
      </c>
      <c r="F32" s="61">
        <v>30</v>
      </c>
      <c r="G32" s="61">
        <v>0</v>
      </c>
      <c r="H32" s="45">
        <v>4394</v>
      </c>
      <c r="I32" s="61">
        <v>352.08</v>
      </c>
      <c r="J32" s="10">
        <f t="shared" si="0"/>
        <v>14898383.641883682</v>
      </c>
      <c r="K32" s="10"/>
      <c r="L32" s="14"/>
    </row>
    <row r="33" spans="1:12" x14ac:dyDescent="0.25">
      <c r="A33" s="3">
        <v>38534</v>
      </c>
      <c r="B33" s="44">
        <v>15041396.481162746</v>
      </c>
      <c r="C33" s="59">
        <v>1.1000000000000001</v>
      </c>
      <c r="D33" s="59">
        <v>144.69999999999999</v>
      </c>
      <c r="E33" s="62">
        <v>132.49698629149512</v>
      </c>
      <c r="F33" s="61">
        <v>31</v>
      </c>
      <c r="G33" s="61">
        <v>0</v>
      </c>
      <c r="H33" s="45">
        <v>4400</v>
      </c>
      <c r="I33" s="61">
        <v>319.92</v>
      </c>
      <c r="J33" s="10">
        <f t="shared" si="0"/>
        <v>15463183.400656603</v>
      </c>
      <c r="K33" s="10"/>
      <c r="L33" s="14"/>
    </row>
    <row r="34" spans="1:12" x14ac:dyDescent="0.25">
      <c r="A34" s="3">
        <v>38565</v>
      </c>
      <c r="B34" s="44">
        <v>14684731.832090264</v>
      </c>
      <c r="C34" s="59">
        <v>3.8</v>
      </c>
      <c r="D34" s="59">
        <v>102.5</v>
      </c>
      <c r="E34" s="62">
        <v>132.79147770964664</v>
      </c>
      <c r="F34" s="61">
        <v>31</v>
      </c>
      <c r="G34" s="61">
        <v>0</v>
      </c>
      <c r="H34" s="45">
        <v>4396</v>
      </c>
      <c r="I34" s="61">
        <v>351.91199999999998</v>
      </c>
      <c r="J34" s="10">
        <f t="shared" si="0"/>
        <v>14572873.395301571</v>
      </c>
      <c r="K34" s="10"/>
      <c r="L34" s="14"/>
    </row>
    <row r="35" spans="1:12" x14ac:dyDescent="0.25">
      <c r="A35" s="3">
        <v>38596</v>
      </c>
      <c r="B35" s="44">
        <v>13365326.553834384</v>
      </c>
      <c r="C35" s="59">
        <v>32.799999999999997</v>
      </c>
      <c r="D35" s="59">
        <v>25.6</v>
      </c>
      <c r="E35" s="62">
        <v>133.08662367246211</v>
      </c>
      <c r="F35" s="61">
        <v>30</v>
      </c>
      <c r="G35" s="61">
        <v>1</v>
      </c>
      <c r="H35" s="45">
        <v>4406</v>
      </c>
      <c r="I35" s="61">
        <v>336.24</v>
      </c>
      <c r="J35" s="10">
        <f t="shared" si="0"/>
        <v>12714440.197272208</v>
      </c>
      <c r="K35" s="10"/>
      <c r="L35" s="14"/>
    </row>
    <row r="36" spans="1:12" x14ac:dyDescent="0.25">
      <c r="A36" s="3">
        <v>38626</v>
      </c>
      <c r="B36" s="44">
        <v>12487023.742589405</v>
      </c>
      <c r="C36" s="59">
        <v>234.2</v>
      </c>
      <c r="D36" s="59">
        <v>7.6</v>
      </c>
      <c r="E36" s="62">
        <v>133.38242563475035</v>
      </c>
      <c r="F36" s="61">
        <v>31</v>
      </c>
      <c r="G36" s="61">
        <v>1</v>
      </c>
      <c r="H36" s="45">
        <v>4413</v>
      </c>
      <c r="I36" s="61">
        <v>319.92</v>
      </c>
      <c r="J36" s="10">
        <f t="shared" si="0"/>
        <v>12694411.24828298</v>
      </c>
      <c r="K36" s="10"/>
      <c r="L36" s="14"/>
    </row>
    <row r="37" spans="1:12" x14ac:dyDescent="0.25">
      <c r="A37" s="3">
        <v>38657</v>
      </c>
      <c r="B37" s="44">
        <v>11736597.695544081</v>
      </c>
      <c r="C37" s="59">
        <v>396.3</v>
      </c>
      <c r="D37" s="59">
        <v>0</v>
      </c>
      <c r="E37" s="62">
        <v>133.67888505455369</v>
      </c>
      <c r="F37" s="61">
        <v>30</v>
      </c>
      <c r="G37" s="61">
        <v>1</v>
      </c>
      <c r="H37" s="45">
        <v>4429</v>
      </c>
      <c r="I37" s="61">
        <v>352.08</v>
      </c>
      <c r="J37" s="10">
        <f t="shared" si="0"/>
        <v>12729481.188153775</v>
      </c>
      <c r="K37" s="10"/>
      <c r="L37" s="14"/>
    </row>
    <row r="38" spans="1:12" x14ac:dyDescent="0.25">
      <c r="A38" s="3">
        <v>38687</v>
      </c>
      <c r="B38" s="44">
        <v>14414584.633773187</v>
      </c>
      <c r="C38" s="59">
        <v>688.8</v>
      </c>
      <c r="D38" s="59">
        <v>0</v>
      </c>
      <c r="E38" s="62">
        <v>133.97600339315525</v>
      </c>
      <c r="F38" s="61">
        <v>31</v>
      </c>
      <c r="G38" s="61">
        <v>0</v>
      </c>
      <c r="H38" s="45">
        <v>4445</v>
      </c>
      <c r="I38" s="61">
        <v>319.92</v>
      </c>
      <c r="J38" s="10">
        <f t="shared" si="0"/>
        <v>13667204.082032114</v>
      </c>
      <c r="K38" s="10"/>
      <c r="L38" s="14"/>
    </row>
    <row r="39" spans="1:12" x14ac:dyDescent="0.25">
      <c r="A39" s="3">
        <v>38718</v>
      </c>
      <c r="B39" s="38">
        <v>14007802.734748516</v>
      </c>
      <c r="C39" s="59">
        <v>554.70000000000005</v>
      </c>
      <c r="D39" s="59">
        <v>0</v>
      </c>
      <c r="E39" s="62">
        <v>134.25197202423305</v>
      </c>
      <c r="F39" s="61">
        <v>31</v>
      </c>
      <c r="G39" s="61">
        <v>0</v>
      </c>
      <c r="H39" s="45">
        <v>4451</v>
      </c>
      <c r="I39" s="61">
        <v>336.28800000000001</v>
      </c>
      <c r="J39" s="10">
        <f t="shared" si="0"/>
        <v>13468919.732827425</v>
      </c>
      <c r="K39" s="10"/>
      <c r="L39" s="14"/>
    </row>
    <row r="40" spans="1:12" x14ac:dyDescent="0.25">
      <c r="A40" s="3">
        <v>38749</v>
      </c>
      <c r="B40" s="38">
        <v>13362222.786383629</v>
      </c>
      <c r="C40" s="59">
        <v>602.79999999999995</v>
      </c>
      <c r="D40" s="59">
        <v>0</v>
      </c>
      <c r="E40" s="62">
        <v>134.52850910550649</v>
      </c>
      <c r="F40" s="61">
        <v>28</v>
      </c>
      <c r="G40" s="61">
        <v>0</v>
      </c>
      <c r="H40" s="45">
        <v>4475</v>
      </c>
      <c r="I40" s="61">
        <v>319.87200000000001</v>
      </c>
      <c r="J40" s="10">
        <f t="shared" si="0"/>
        <v>13588060.003447093</v>
      </c>
      <c r="K40" s="10"/>
      <c r="L40" s="14"/>
    </row>
    <row r="41" spans="1:12" x14ac:dyDescent="0.25">
      <c r="A41" s="3">
        <v>38777</v>
      </c>
      <c r="B41" s="38">
        <v>12578997.867661119</v>
      </c>
      <c r="C41" s="59">
        <v>530.4</v>
      </c>
      <c r="D41" s="59">
        <v>0</v>
      </c>
      <c r="E41" s="62">
        <v>134.80561580788986</v>
      </c>
      <c r="F41" s="61">
        <v>31</v>
      </c>
      <c r="G41" s="61">
        <v>1</v>
      </c>
      <c r="H41" s="45">
        <v>4479</v>
      </c>
      <c r="I41" s="61">
        <v>368.28</v>
      </c>
      <c r="J41" s="10">
        <f t="shared" si="0"/>
        <v>13004684.488467896</v>
      </c>
      <c r="K41" s="10"/>
      <c r="L41" s="14"/>
    </row>
    <row r="42" spans="1:12" x14ac:dyDescent="0.25">
      <c r="A42" s="3">
        <v>38808</v>
      </c>
      <c r="B42" s="38">
        <v>12029183.696691526</v>
      </c>
      <c r="C42" s="59">
        <v>314.60000000000002</v>
      </c>
      <c r="D42" s="59">
        <v>0</v>
      </c>
      <c r="E42" s="62">
        <v>135.08329330470943</v>
      </c>
      <c r="F42" s="61">
        <v>30</v>
      </c>
      <c r="G42" s="61">
        <v>1</v>
      </c>
      <c r="H42" s="45">
        <v>4475</v>
      </c>
      <c r="I42" s="61">
        <v>303.83999999999997</v>
      </c>
      <c r="J42" s="10">
        <f t="shared" si="0"/>
        <v>12822685.148453392</v>
      </c>
      <c r="K42" s="10"/>
      <c r="L42" s="14"/>
    </row>
    <row r="43" spans="1:12" x14ac:dyDescent="0.25">
      <c r="A43" s="3">
        <v>38838</v>
      </c>
      <c r="B43" s="38">
        <v>12907036.551922524</v>
      </c>
      <c r="C43" s="59">
        <v>155.5</v>
      </c>
      <c r="D43" s="59">
        <v>22.4</v>
      </c>
      <c r="E43" s="62">
        <v>135.36154277170829</v>
      </c>
      <c r="F43" s="61">
        <v>31</v>
      </c>
      <c r="G43" s="61">
        <v>1</v>
      </c>
      <c r="H43" s="45">
        <v>4466</v>
      </c>
      <c r="I43" s="61">
        <v>351.91199999999998</v>
      </c>
      <c r="J43" s="10">
        <f t="shared" si="0"/>
        <v>12949619.381982749</v>
      </c>
      <c r="K43" s="10"/>
      <c r="L43" s="14"/>
    </row>
    <row r="44" spans="1:12" x14ac:dyDescent="0.25">
      <c r="A44" s="3">
        <v>38869</v>
      </c>
      <c r="B44" s="38">
        <v>13461546.648767859</v>
      </c>
      <c r="C44" s="59">
        <v>26.7</v>
      </c>
      <c r="D44" s="59">
        <v>43.2</v>
      </c>
      <c r="E44" s="62">
        <v>135.64036538705133</v>
      </c>
      <c r="F44" s="61">
        <v>30</v>
      </c>
      <c r="G44" s="61">
        <v>0</v>
      </c>
      <c r="H44" s="45">
        <v>4484</v>
      </c>
      <c r="I44" s="61">
        <v>352.08</v>
      </c>
      <c r="J44" s="10">
        <f t="shared" si="0"/>
        <v>13644197.859742928</v>
      </c>
      <c r="K44" s="10"/>
      <c r="L44" s="14"/>
    </row>
    <row r="45" spans="1:12" x14ac:dyDescent="0.25">
      <c r="A45" s="3">
        <v>38899</v>
      </c>
      <c r="B45" s="38">
        <v>15795856.11276249</v>
      </c>
      <c r="C45" s="59">
        <v>1.9</v>
      </c>
      <c r="D45" s="59">
        <v>136.1</v>
      </c>
      <c r="E45" s="62">
        <v>135.9197623313303</v>
      </c>
      <c r="F45" s="61">
        <v>31</v>
      </c>
      <c r="G45" s="61">
        <v>0</v>
      </c>
      <c r="H45" s="45">
        <v>4489</v>
      </c>
      <c r="I45" s="61">
        <v>319.92</v>
      </c>
      <c r="J45" s="10">
        <f t="shared" si="0"/>
        <v>15521177.390034616</v>
      </c>
      <c r="K45" s="10"/>
      <c r="L45" s="14"/>
    </row>
    <row r="46" spans="1:12" x14ac:dyDescent="0.25">
      <c r="A46" s="3">
        <v>38930</v>
      </c>
      <c r="B46" s="38">
        <v>14421557.090804489</v>
      </c>
      <c r="C46" s="59">
        <v>8.1</v>
      </c>
      <c r="D46" s="59">
        <v>70.099999999999994</v>
      </c>
      <c r="E46" s="62">
        <v>136.19973478756879</v>
      </c>
      <c r="F46" s="61">
        <v>31</v>
      </c>
      <c r="G46" s="61">
        <v>0</v>
      </c>
      <c r="H46" s="45">
        <v>4496</v>
      </c>
      <c r="I46" s="61">
        <v>351.91199999999998</v>
      </c>
      <c r="J46" s="10">
        <f t="shared" si="0"/>
        <v>14189201.827514241</v>
      </c>
      <c r="K46" s="10"/>
      <c r="L46" s="14"/>
    </row>
    <row r="47" spans="1:12" x14ac:dyDescent="0.25">
      <c r="A47" s="3">
        <v>38961</v>
      </c>
      <c r="B47" s="38">
        <v>12076511.295426216</v>
      </c>
      <c r="C47" s="59">
        <v>105.3</v>
      </c>
      <c r="D47" s="59">
        <v>4.0999999999999996</v>
      </c>
      <c r="E47" s="62">
        <v>136.48028394122719</v>
      </c>
      <c r="F47" s="61">
        <v>30</v>
      </c>
      <c r="G47" s="61">
        <v>1</v>
      </c>
      <c r="H47" s="45">
        <v>4498</v>
      </c>
      <c r="I47" s="61">
        <v>319.68</v>
      </c>
      <c r="J47" s="10">
        <f t="shared" si="0"/>
        <v>12654050.047384035</v>
      </c>
      <c r="K47" s="10"/>
      <c r="L47" s="14"/>
    </row>
    <row r="48" spans="1:12" x14ac:dyDescent="0.25">
      <c r="A48" s="3">
        <v>38991</v>
      </c>
      <c r="B48" s="38">
        <v>12975918.256783968</v>
      </c>
      <c r="C48" s="59">
        <v>304.10000000000002</v>
      </c>
      <c r="D48" s="59">
        <v>0</v>
      </c>
      <c r="E48" s="62">
        <v>136.76141098020776</v>
      </c>
      <c r="F48" s="61">
        <v>31</v>
      </c>
      <c r="G48" s="61">
        <v>1</v>
      </c>
      <c r="H48" s="45">
        <v>4525</v>
      </c>
      <c r="I48" s="61">
        <v>336.28800000000001</v>
      </c>
      <c r="J48" s="10">
        <f t="shared" si="0"/>
        <v>12878242.809784625</v>
      </c>
      <c r="K48" s="10"/>
      <c r="L48" s="14"/>
    </row>
    <row r="49" spans="1:12" x14ac:dyDescent="0.25">
      <c r="A49" s="3">
        <v>39022</v>
      </c>
      <c r="B49" s="38">
        <v>11701185.626618085</v>
      </c>
      <c r="C49" s="59">
        <v>393.1</v>
      </c>
      <c r="D49" s="59">
        <v>0</v>
      </c>
      <c r="E49" s="62">
        <v>137.04311709485967</v>
      </c>
      <c r="F49" s="61">
        <v>30</v>
      </c>
      <c r="G49" s="61">
        <v>1</v>
      </c>
      <c r="H49" s="45">
        <v>4718</v>
      </c>
      <c r="I49" s="61">
        <v>352.08</v>
      </c>
      <c r="J49" s="10">
        <f t="shared" si="0"/>
        <v>13337131.571391761</v>
      </c>
      <c r="K49" s="10"/>
      <c r="L49" s="14"/>
    </row>
    <row r="50" spans="1:12" x14ac:dyDescent="0.25">
      <c r="A50" s="3">
        <v>39052</v>
      </c>
      <c r="B50" s="38">
        <v>14773673.755873049</v>
      </c>
      <c r="C50" s="59">
        <v>508.1</v>
      </c>
      <c r="D50" s="59">
        <v>0</v>
      </c>
      <c r="E50" s="62">
        <v>137.32540347798411</v>
      </c>
      <c r="F50" s="61">
        <v>31</v>
      </c>
      <c r="G50" s="61">
        <v>0</v>
      </c>
      <c r="H50" s="45">
        <v>4738</v>
      </c>
      <c r="I50" s="61">
        <v>304.29599999999999</v>
      </c>
      <c r="J50" s="10">
        <f t="shared" si="0"/>
        <v>14071012.253789248</v>
      </c>
      <c r="K50" s="10"/>
      <c r="L50" s="14"/>
    </row>
    <row r="51" spans="1:12" x14ac:dyDescent="0.25">
      <c r="A51" s="3">
        <v>39083</v>
      </c>
      <c r="B51" s="38">
        <v>15493769.488925112</v>
      </c>
      <c r="C51" s="59">
        <v>665.6</v>
      </c>
      <c r="D51" s="59">
        <v>0</v>
      </c>
      <c r="E51" s="62">
        <v>137.58587596073079</v>
      </c>
      <c r="F51" s="61">
        <v>31</v>
      </c>
      <c r="G51" s="61">
        <v>0</v>
      </c>
      <c r="H51" s="45">
        <v>4756</v>
      </c>
      <c r="I51" s="61">
        <v>351.91199999999998</v>
      </c>
      <c r="J51" s="10">
        <f t="shared" si="0"/>
        <v>14232118.951752642</v>
      </c>
      <c r="K51" s="10"/>
      <c r="L51" s="14"/>
    </row>
    <row r="52" spans="1:12" x14ac:dyDescent="0.25">
      <c r="A52" s="3">
        <v>39114</v>
      </c>
      <c r="B52" s="38">
        <v>15246357.100393135</v>
      </c>
      <c r="C52" s="59">
        <v>761.8</v>
      </c>
      <c r="D52" s="59">
        <v>0</v>
      </c>
      <c r="E52" s="62">
        <v>137.84684249565245</v>
      </c>
      <c r="F52" s="61">
        <v>28</v>
      </c>
      <c r="G52" s="61">
        <v>0</v>
      </c>
      <c r="H52" s="45">
        <v>4752</v>
      </c>
      <c r="I52" s="61">
        <v>319.87200000000001</v>
      </c>
      <c r="J52" s="10">
        <f t="shared" si="0"/>
        <v>14392541.786351331</v>
      </c>
      <c r="K52" s="10"/>
      <c r="L52" s="14"/>
    </row>
    <row r="53" spans="1:12" x14ac:dyDescent="0.25">
      <c r="A53" s="3">
        <v>39142</v>
      </c>
      <c r="B53" s="38">
        <v>14741478.521430627</v>
      </c>
      <c r="C53" s="59">
        <v>565.20000000000005</v>
      </c>
      <c r="D53" s="59">
        <v>0</v>
      </c>
      <c r="E53" s="62">
        <v>138.10830401984444</v>
      </c>
      <c r="F53" s="61">
        <v>31</v>
      </c>
      <c r="G53" s="61">
        <v>1</v>
      </c>
      <c r="H53" s="45">
        <v>4751</v>
      </c>
      <c r="I53" s="61">
        <v>351.91199999999998</v>
      </c>
      <c r="J53" s="10">
        <f t="shared" si="0"/>
        <v>13661880.869492978</v>
      </c>
      <c r="K53" s="10"/>
      <c r="L53" s="14"/>
    </row>
    <row r="54" spans="1:12" x14ac:dyDescent="0.25">
      <c r="A54" s="3">
        <v>39173</v>
      </c>
      <c r="B54" s="38">
        <v>13687988.752517022</v>
      </c>
      <c r="C54" s="59">
        <v>374.2</v>
      </c>
      <c r="D54" s="59">
        <v>0</v>
      </c>
      <c r="E54" s="62">
        <v>138.37026147217955</v>
      </c>
      <c r="F54" s="61">
        <v>30</v>
      </c>
      <c r="G54" s="61">
        <v>1</v>
      </c>
      <c r="H54" s="45">
        <v>4758</v>
      </c>
      <c r="I54" s="61">
        <v>319.68</v>
      </c>
      <c r="J54" s="10">
        <f t="shared" si="0"/>
        <v>13472325.473993506</v>
      </c>
      <c r="K54" s="10"/>
      <c r="L54" s="14"/>
    </row>
    <row r="55" spans="1:12" x14ac:dyDescent="0.25">
      <c r="A55" s="3">
        <v>39203</v>
      </c>
      <c r="B55" s="38">
        <v>13088060.830376834</v>
      </c>
      <c r="C55" s="59">
        <v>138.4</v>
      </c>
      <c r="D55" s="59">
        <v>23.3</v>
      </c>
      <c r="E55" s="62">
        <v>138.63271579331135</v>
      </c>
      <c r="F55" s="61">
        <v>31</v>
      </c>
      <c r="G55" s="61">
        <v>1</v>
      </c>
      <c r="H55" s="45">
        <v>4762</v>
      </c>
      <c r="I55" s="61">
        <v>351.91199999999998</v>
      </c>
      <c r="J55" s="10">
        <f t="shared" si="0"/>
        <v>13568119.926859478</v>
      </c>
      <c r="K55" s="10"/>
      <c r="L55" s="14"/>
    </row>
    <row r="56" spans="1:12" x14ac:dyDescent="0.25">
      <c r="A56" s="3">
        <v>39234</v>
      </c>
      <c r="B56" s="38">
        <v>15422536.350560937</v>
      </c>
      <c r="C56" s="59">
        <v>19.2</v>
      </c>
      <c r="D56" s="59">
        <v>74.2</v>
      </c>
      <c r="E56" s="62">
        <v>138.89566792567766</v>
      </c>
      <c r="F56" s="61">
        <v>30</v>
      </c>
      <c r="G56" s="61">
        <v>0</v>
      </c>
      <c r="H56" s="45">
        <v>4766</v>
      </c>
      <c r="I56" s="61">
        <v>336.24</v>
      </c>
      <c r="J56" s="10">
        <f t="shared" si="0"/>
        <v>14870327.594945177</v>
      </c>
      <c r="K56" s="10"/>
      <c r="L56" s="14"/>
    </row>
    <row r="57" spans="1:12" x14ac:dyDescent="0.25">
      <c r="A57" s="3">
        <v>39264</v>
      </c>
      <c r="B57" s="38">
        <v>14782717.230798736</v>
      </c>
      <c r="C57" s="59">
        <v>9.1999999999999993</v>
      </c>
      <c r="D57" s="59">
        <v>82</v>
      </c>
      <c r="E57" s="62">
        <v>139.1591188135038</v>
      </c>
      <c r="F57" s="61">
        <v>31</v>
      </c>
      <c r="G57" s="61">
        <v>0</v>
      </c>
      <c r="H57" s="45">
        <v>4764</v>
      </c>
      <c r="I57" s="61">
        <v>336.28800000000001</v>
      </c>
      <c r="J57" s="10">
        <f t="shared" si="0"/>
        <v>15019718.434027519</v>
      </c>
      <c r="K57" s="10"/>
      <c r="L57" s="14"/>
    </row>
    <row r="58" spans="1:12" x14ac:dyDescent="0.25">
      <c r="A58" s="3">
        <v>39295</v>
      </c>
      <c r="B58" s="38">
        <v>16065299.069901239</v>
      </c>
      <c r="C58" s="59">
        <v>8.4</v>
      </c>
      <c r="D58" s="59">
        <v>106</v>
      </c>
      <c r="E58" s="62">
        <v>139.42306940280611</v>
      </c>
      <c r="F58" s="61">
        <v>31</v>
      </c>
      <c r="G58" s="61">
        <v>0</v>
      </c>
      <c r="H58" s="45">
        <v>4770</v>
      </c>
      <c r="I58" s="61">
        <v>351.91199999999998</v>
      </c>
      <c r="J58" s="10">
        <f t="shared" si="0"/>
        <v>15475545.837345129</v>
      </c>
      <c r="K58" s="10"/>
      <c r="L58" s="14"/>
    </row>
    <row r="59" spans="1:12" x14ac:dyDescent="0.25">
      <c r="A59" s="3">
        <v>39326</v>
      </c>
      <c r="B59" s="38">
        <v>13883469.901236936</v>
      </c>
      <c r="C59" s="59">
        <v>55.2</v>
      </c>
      <c r="D59" s="59">
        <v>37.200000000000003</v>
      </c>
      <c r="E59" s="62">
        <v>139.68752064139528</v>
      </c>
      <c r="F59" s="61">
        <v>30</v>
      </c>
      <c r="G59" s="61">
        <v>1</v>
      </c>
      <c r="H59" s="45">
        <v>4778</v>
      </c>
      <c r="I59" s="61">
        <v>303.83999999999997</v>
      </c>
      <c r="J59" s="10">
        <f t="shared" si="0"/>
        <v>13858821.687441513</v>
      </c>
      <c r="K59" s="10"/>
      <c r="L59" s="14"/>
    </row>
    <row r="60" spans="1:12" x14ac:dyDescent="0.25">
      <c r="A60" s="3">
        <v>39356</v>
      </c>
      <c r="B60" s="38">
        <v>13636520.61559114</v>
      </c>
      <c r="C60" s="59">
        <v>157.80000000000001</v>
      </c>
      <c r="D60" s="59">
        <v>13</v>
      </c>
      <c r="E60" s="62">
        <v>139.95247347887977</v>
      </c>
      <c r="F60" s="61">
        <v>31</v>
      </c>
      <c r="G60" s="61">
        <v>1</v>
      </c>
      <c r="H60" s="45">
        <v>4783</v>
      </c>
      <c r="I60" s="61">
        <v>351.91199999999998</v>
      </c>
      <c r="J60" s="10">
        <f t="shared" si="0"/>
        <v>13453509.935540581</v>
      </c>
      <c r="K60" s="10"/>
      <c r="L60" s="14"/>
    </row>
    <row r="61" spans="1:12" x14ac:dyDescent="0.25">
      <c r="A61" s="3">
        <v>39387</v>
      </c>
      <c r="B61" s="38">
        <v>11555201.275290057</v>
      </c>
      <c r="C61" s="59">
        <v>467.5</v>
      </c>
      <c r="D61" s="59">
        <v>0</v>
      </c>
      <c r="E61" s="62">
        <v>140.21792886666915</v>
      </c>
      <c r="F61" s="61">
        <v>30</v>
      </c>
      <c r="G61" s="61">
        <v>1</v>
      </c>
      <c r="H61" s="45">
        <v>4807</v>
      </c>
      <c r="I61" s="61">
        <v>352.08</v>
      </c>
      <c r="J61" s="10">
        <f t="shared" si="0"/>
        <v>13660349.256511949</v>
      </c>
      <c r="K61" s="10"/>
      <c r="L61" s="14"/>
    </row>
    <row r="62" spans="1:12" x14ac:dyDescent="0.25">
      <c r="A62" s="3">
        <v>39417</v>
      </c>
      <c r="B62" s="38">
        <v>15348673.266852047</v>
      </c>
      <c r="C62" s="59">
        <v>641</v>
      </c>
      <c r="D62" s="59">
        <v>0</v>
      </c>
      <c r="E62" s="62">
        <v>140.48388775797773</v>
      </c>
      <c r="F62" s="61">
        <v>31</v>
      </c>
      <c r="G62" s="61">
        <v>0</v>
      </c>
      <c r="H62" s="45">
        <v>4814</v>
      </c>
      <c r="I62" s="61">
        <v>304.29599999999999</v>
      </c>
      <c r="J62" s="10">
        <f t="shared" si="0"/>
        <v>14448439.542296812</v>
      </c>
      <c r="K62" s="10"/>
      <c r="L62" s="14"/>
    </row>
    <row r="63" spans="1:12" x14ac:dyDescent="0.25">
      <c r="A63" s="3">
        <v>39448</v>
      </c>
      <c r="B63" s="45">
        <v>14944320.606002493</v>
      </c>
      <c r="C63" s="59">
        <v>632.70000000000005</v>
      </c>
      <c r="D63" s="59">
        <v>0</v>
      </c>
      <c r="E63" s="62">
        <v>140.42521823206457</v>
      </c>
      <c r="F63" s="61">
        <v>31</v>
      </c>
      <c r="G63" s="61">
        <v>0</v>
      </c>
      <c r="H63" s="45">
        <v>4818</v>
      </c>
      <c r="I63" s="61">
        <v>352</v>
      </c>
      <c r="J63" s="10">
        <f t="shared" si="0"/>
        <v>14351608.690767456</v>
      </c>
    </row>
    <row r="64" spans="1:12" x14ac:dyDescent="0.25">
      <c r="A64" s="3">
        <v>39479</v>
      </c>
      <c r="B64" s="45">
        <v>14878718.160897499</v>
      </c>
      <c r="C64" s="59">
        <v>678.8</v>
      </c>
      <c r="D64" s="59">
        <v>0</v>
      </c>
      <c r="E64" s="62">
        <v>140.36657320798807</v>
      </c>
      <c r="F64" s="61">
        <v>29</v>
      </c>
      <c r="G64" s="61">
        <v>0</v>
      </c>
      <c r="H64" s="45">
        <v>4819</v>
      </c>
      <c r="I64" s="61">
        <v>320</v>
      </c>
      <c r="J64" s="10">
        <f t="shared" si="0"/>
        <v>14458066.564958375</v>
      </c>
    </row>
    <row r="65" spans="1:33" x14ac:dyDescent="0.25">
      <c r="A65" s="3">
        <v>39508</v>
      </c>
      <c r="B65" s="45">
        <v>15031787.563524788</v>
      </c>
      <c r="C65" s="59">
        <v>621.79999999999995</v>
      </c>
      <c r="D65" s="59">
        <v>0</v>
      </c>
      <c r="E65" s="62">
        <v>140.30795267551565</v>
      </c>
      <c r="F65" s="61">
        <v>31</v>
      </c>
      <c r="G65" s="61">
        <v>1</v>
      </c>
      <c r="H65" s="45">
        <v>4821</v>
      </c>
      <c r="I65" s="61">
        <v>304</v>
      </c>
      <c r="J65" s="10">
        <f t="shared" si="0"/>
        <v>14001592.630923362</v>
      </c>
    </row>
    <row r="66" spans="1:33" x14ac:dyDescent="0.25">
      <c r="A66" s="3">
        <v>39539</v>
      </c>
      <c r="B66" s="45">
        <v>13075471.003931347</v>
      </c>
      <c r="C66" s="59">
        <v>290.60000000000002</v>
      </c>
      <c r="D66" s="59">
        <v>0</v>
      </c>
      <c r="E66" s="62">
        <v>140.24935662441902</v>
      </c>
      <c r="F66" s="61">
        <v>30</v>
      </c>
      <c r="G66" s="61">
        <v>1</v>
      </c>
      <c r="H66" s="45">
        <v>4828</v>
      </c>
      <c r="I66" s="61">
        <v>352</v>
      </c>
      <c r="J66" s="10">
        <f t="shared" si="0"/>
        <v>13460856.737075023</v>
      </c>
    </row>
    <row r="67" spans="1:33" x14ac:dyDescent="0.25">
      <c r="A67" s="3">
        <v>39569</v>
      </c>
      <c r="B67" s="45">
        <v>12988944.721449805</v>
      </c>
      <c r="C67" s="59">
        <v>214.1</v>
      </c>
      <c r="D67" s="59">
        <v>0.3</v>
      </c>
      <c r="E67" s="62">
        <v>140.19078504447415</v>
      </c>
      <c r="F67" s="61">
        <v>31</v>
      </c>
      <c r="G67" s="61">
        <v>1</v>
      </c>
      <c r="H67" s="45">
        <v>4822</v>
      </c>
      <c r="I67" s="61">
        <v>336</v>
      </c>
      <c r="J67" s="10">
        <f t="shared" si="0"/>
        <v>13390700.729195854</v>
      </c>
    </row>
    <row r="68" spans="1:33" x14ac:dyDescent="0.25">
      <c r="A68" s="3">
        <v>39600</v>
      </c>
      <c r="B68" s="45">
        <v>14567856.247003548</v>
      </c>
      <c r="C68" s="59">
        <v>34.200000000000003</v>
      </c>
      <c r="D68" s="59">
        <v>55</v>
      </c>
      <c r="E68" s="62">
        <v>140.13223792546131</v>
      </c>
      <c r="F68" s="61">
        <v>30</v>
      </c>
      <c r="G68" s="61">
        <v>0</v>
      </c>
      <c r="H68" s="45">
        <v>4826</v>
      </c>
      <c r="I68" s="61">
        <v>336</v>
      </c>
      <c r="J68" s="10">
        <f t="shared" ref="J68:J122" si="1">$N$18+C68*$N$19+D68*$N$20+E68*$N$21+F68*$N$22+G68*$N$23+H68*$N$24+I68*$N$25</f>
        <v>14649555.479063591</v>
      </c>
    </row>
    <row r="69" spans="1:33" x14ac:dyDescent="0.25">
      <c r="A69" s="3">
        <v>39630</v>
      </c>
      <c r="B69" s="45">
        <v>15501958.327739956</v>
      </c>
      <c r="C69" s="59">
        <v>3.7</v>
      </c>
      <c r="D69" s="59">
        <v>87.7</v>
      </c>
      <c r="E69" s="62">
        <v>140.07371525716499</v>
      </c>
      <c r="F69" s="61">
        <v>31</v>
      </c>
      <c r="G69" s="61">
        <v>0</v>
      </c>
      <c r="H69" s="45">
        <v>4828</v>
      </c>
      <c r="I69" s="61">
        <v>352</v>
      </c>
      <c r="J69" s="10">
        <f t="shared" si="1"/>
        <v>15231960.595327307</v>
      </c>
    </row>
    <row r="70" spans="1:33" x14ac:dyDescent="0.25">
      <c r="A70" s="3">
        <v>39661</v>
      </c>
      <c r="B70" s="45">
        <v>14655648.719915621</v>
      </c>
      <c r="C70" s="59">
        <v>20.2</v>
      </c>
      <c r="D70" s="59">
        <v>45.2</v>
      </c>
      <c r="E70" s="62">
        <v>140.01521702937399</v>
      </c>
      <c r="F70" s="61">
        <v>31</v>
      </c>
      <c r="G70" s="61">
        <v>0</v>
      </c>
      <c r="H70" s="45">
        <v>4826</v>
      </c>
      <c r="I70" s="61">
        <v>320</v>
      </c>
      <c r="J70" s="10">
        <f t="shared" si="1"/>
        <v>14476778.389828458</v>
      </c>
    </row>
    <row r="71" spans="1:33" x14ac:dyDescent="0.25">
      <c r="A71" s="3">
        <v>39692</v>
      </c>
      <c r="B71" s="45">
        <v>13543492.501678014</v>
      </c>
      <c r="C71" s="59">
        <v>70.400000000000006</v>
      </c>
      <c r="D71" s="59">
        <v>20.3</v>
      </c>
      <c r="E71" s="62">
        <v>139.95674323188132</v>
      </c>
      <c r="F71" s="61">
        <v>30</v>
      </c>
      <c r="G71" s="61">
        <v>1</v>
      </c>
      <c r="H71" s="45">
        <v>4827</v>
      </c>
      <c r="I71" s="61">
        <v>336</v>
      </c>
      <c r="J71" s="10">
        <f t="shared" si="1"/>
        <v>13584340.364658216</v>
      </c>
    </row>
    <row r="72" spans="1:33" x14ac:dyDescent="0.25">
      <c r="A72" s="3">
        <v>39722</v>
      </c>
      <c r="B72" s="45">
        <v>12894890.037395725</v>
      </c>
      <c r="C72" s="59">
        <v>297.5</v>
      </c>
      <c r="D72" s="59">
        <v>0</v>
      </c>
      <c r="E72" s="62">
        <v>139.89829385448431</v>
      </c>
      <c r="F72" s="61">
        <v>31</v>
      </c>
      <c r="G72" s="61">
        <v>1</v>
      </c>
      <c r="H72" s="45">
        <v>4829</v>
      </c>
      <c r="I72" s="61">
        <v>352</v>
      </c>
      <c r="J72" s="10">
        <f t="shared" si="1"/>
        <v>13476319.518944127</v>
      </c>
    </row>
    <row r="73" spans="1:33" x14ac:dyDescent="0.25">
      <c r="A73" s="3">
        <v>39753</v>
      </c>
      <c r="B73" s="45">
        <v>13116865.41375012</v>
      </c>
      <c r="C73" s="59">
        <v>460.6</v>
      </c>
      <c r="D73" s="59">
        <v>0</v>
      </c>
      <c r="E73" s="62">
        <v>139.83986888698453</v>
      </c>
      <c r="F73" s="61">
        <v>30</v>
      </c>
      <c r="G73" s="61">
        <v>1</v>
      </c>
      <c r="H73" s="45">
        <v>4828</v>
      </c>
      <c r="I73" s="61">
        <v>304</v>
      </c>
      <c r="J73" s="10">
        <f t="shared" si="1"/>
        <v>13778769.389398074</v>
      </c>
    </row>
    <row r="74" spans="1:33" x14ac:dyDescent="0.25">
      <c r="A74" s="3">
        <v>39783</v>
      </c>
      <c r="B74" s="45">
        <v>15243338.364176815</v>
      </c>
      <c r="C74" s="59">
        <v>655.29999999999995</v>
      </c>
      <c r="D74" s="59">
        <v>0</v>
      </c>
      <c r="E74" s="62">
        <v>139.78146831918784</v>
      </c>
      <c r="F74" s="61">
        <v>31</v>
      </c>
      <c r="G74" s="61">
        <v>0</v>
      </c>
      <c r="H74" s="45">
        <v>4838</v>
      </c>
      <c r="I74" s="61">
        <v>336</v>
      </c>
      <c r="J74" s="10">
        <f t="shared" si="1"/>
        <v>14441979.739156639</v>
      </c>
    </row>
    <row r="75" spans="1:33" s="15" customFormat="1" x14ac:dyDescent="0.25">
      <c r="A75" s="3">
        <v>39814</v>
      </c>
      <c r="B75" s="45">
        <v>14944320.606002493</v>
      </c>
      <c r="C75" s="59">
        <v>712.8153846153848</v>
      </c>
      <c r="D75" s="59">
        <v>0</v>
      </c>
      <c r="E75" s="62">
        <v>139.37911160687111</v>
      </c>
      <c r="F75" s="61">
        <v>31</v>
      </c>
      <c r="G75" s="61">
        <v>0</v>
      </c>
      <c r="H75" s="45" t="e">
        <f t="shared" ref="H75:H80" si="2">H74+($H$81-$H$74)/7</f>
        <v>#REF!</v>
      </c>
      <c r="I75" s="61">
        <v>336</v>
      </c>
      <c r="J75" s="10" t="e">
        <f t="shared" si="1"/>
        <v>#REF!</v>
      </c>
      <c r="K75" s="46"/>
      <c r="L75" s="1"/>
      <c r="M75"/>
      <c r="N75"/>
      <c r="O75"/>
      <c r="P75"/>
      <c r="Q75"/>
      <c r="R75"/>
      <c r="S75"/>
      <c r="T75"/>
      <c r="U75"/>
      <c r="V75"/>
      <c r="W75"/>
      <c r="X75"/>
      <c r="Y75" s="11"/>
      <c r="Z75" s="11"/>
      <c r="AA75" s="11"/>
      <c r="AB75" s="11"/>
      <c r="AC75" s="11"/>
      <c r="AD75" s="11"/>
      <c r="AE75" s="11"/>
      <c r="AF75" s="11"/>
      <c r="AG75" s="11"/>
    </row>
    <row r="76" spans="1:33" x14ac:dyDescent="0.25">
      <c r="A76" s="3">
        <v>39845</v>
      </c>
      <c r="B76" s="45">
        <v>14878718.160897499</v>
      </c>
      <c r="C76" s="59">
        <v>627.4</v>
      </c>
      <c r="D76" s="59">
        <v>0</v>
      </c>
      <c r="E76" s="62">
        <v>138.97791306613385</v>
      </c>
      <c r="F76" s="61">
        <v>28</v>
      </c>
      <c r="G76" s="61">
        <v>0</v>
      </c>
      <c r="H76" s="45" t="e">
        <f t="shared" si="2"/>
        <v>#REF!</v>
      </c>
      <c r="I76" s="61">
        <v>304</v>
      </c>
      <c r="J76" s="10" t="e">
        <f t="shared" si="1"/>
        <v>#REF!</v>
      </c>
      <c r="K76" s="46"/>
    </row>
    <row r="77" spans="1:33" x14ac:dyDescent="0.25">
      <c r="A77" s="3">
        <v>39873</v>
      </c>
      <c r="B77" s="45">
        <v>15031787.563524788</v>
      </c>
      <c r="C77" s="59">
        <v>566.50769230769231</v>
      </c>
      <c r="D77" s="59">
        <v>0</v>
      </c>
      <c r="E77" s="62">
        <v>138.57786936321438</v>
      </c>
      <c r="F77" s="61">
        <v>31</v>
      </c>
      <c r="G77" s="61">
        <v>1</v>
      </c>
      <c r="H77" s="45" t="e">
        <f t="shared" si="2"/>
        <v>#REF!</v>
      </c>
      <c r="I77" s="61">
        <v>352</v>
      </c>
      <c r="J77" s="10" t="e">
        <f t="shared" si="1"/>
        <v>#REF!</v>
      </c>
      <c r="K77" s="46"/>
    </row>
    <row r="78" spans="1:33" x14ac:dyDescent="0.25">
      <c r="A78" s="3">
        <v>39904</v>
      </c>
      <c r="B78" s="45">
        <v>13075471.003931347</v>
      </c>
      <c r="C78" s="59">
        <v>341.76153846153852</v>
      </c>
      <c r="D78" s="59">
        <v>0.61538461538461542</v>
      </c>
      <c r="E78" s="62">
        <v>138.17897717394706</v>
      </c>
      <c r="F78" s="61">
        <v>30</v>
      </c>
      <c r="G78" s="61">
        <v>1</v>
      </c>
      <c r="H78" s="45" t="e">
        <f t="shared" si="2"/>
        <v>#REF!</v>
      </c>
      <c r="I78" s="61">
        <v>320</v>
      </c>
      <c r="J78" s="10" t="e">
        <f t="shared" si="1"/>
        <v>#REF!</v>
      </c>
      <c r="K78" s="46"/>
    </row>
    <row r="79" spans="1:33" x14ac:dyDescent="0.25">
      <c r="A79" s="3">
        <v>39934</v>
      </c>
      <c r="B79" s="45">
        <v>12988944.721449805</v>
      </c>
      <c r="C79" s="59">
        <v>178.33076923076925</v>
      </c>
      <c r="D79" s="59">
        <v>11.461538461538463</v>
      </c>
      <c r="E79" s="62">
        <v>137.78123318373483</v>
      </c>
      <c r="F79" s="61">
        <v>31</v>
      </c>
      <c r="G79" s="61">
        <v>1</v>
      </c>
      <c r="H79" s="45" t="e">
        <f t="shared" si="2"/>
        <v>#REF!</v>
      </c>
      <c r="I79" s="61">
        <v>320</v>
      </c>
      <c r="J79" s="10" t="e">
        <f t="shared" si="1"/>
        <v>#REF!</v>
      </c>
      <c r="K79" s="46"/>
    </row>
    <row r="80" spans="1:33" x14ac:dyDescent="0.25">
      <c r="A80" s="3">
        <v>39965</v>
      </c>
      <c r="B80" s="45">
        <v>14567856.247003548</v>
      </c>
      <c r="C80" s="59">
        <v>38</v>
      </c>
      <c r="D80" s="59">
        <v>61.2</v>
      </c>
      <c r="E80" s="62">
        <v>137.38463408752156</v>
      </c>
      <c r="F80" s="61">
        <v>30</v>
      </c>
      <c r="G80" s="61">
        <v>0</v>
      </c>
      <c r="H80" s="45" t="e">
        <f t="shared" si="2"/>
        <v>#REF!</v>
      </c>
      <c r="I80" s="61">
        <v>352</v>
      </c>
      <c r="J80" s="10" t="e">
        <f t="shared" si="1"/>
        <v>#REF!</v>
      </c>
      <c r="K80" s="46"/>
    </row>
    <row r="81" spans="1:33" x14ac:dyDescent="0.25">
      <c r="A81" s="3">
        <v>39995</v>
      </c>
      <c r="B81" s="45">
        <v>15501958.327739956</v>
      </c>
      <c r="C81" s="59">
        <v>6.9153846153846157</v>
      </c>
      <c r="D81" s="59">
        <v>96.953846153846143</v>
      </c>
      <c r="E81" s="62">
        <v>136.98917658976464</v>
      </c>
      <c r="F81" s="61">
        <v>31</v>
      </c>
      <c r="G81" s="61">
        <v>0</v>
      </c>
      <c r="H81" s="45" t="e">
        <f>'Rate Class Customer Model'!#REF!</f>
        <v>#REF!</v>
      </c>
      <c r="I81" s="61">
        <v>352</v>
      </c>
      <c r="J81" s="10" t="e">
        <f t="shared" si="1"/>
        <v>#REF!</v>
      </c>
      <c r="K81" s="46"/>
    </row>
    <row r="82" spans="1:33" x14ac:dyDescent="0.25">
      <c r="A82" s="3">
        <v>40026</v>
      </c>
      <c r="B82" s="45">
        <v>14655648.719915621</v>
      </c>
      <c r="C82" s="59">
        <v>10.86923076923077</v>
      </c>
      <c r="D82" s="59">
        <v>76.623076923076937</v>
      </c>
      <c r="E82" s="62">
        <v>136.59485740440758</v>
      </c>
      <c r="F82" s="61">
        <v>31</v>
      </c>
      <c r="G82" s="61">
        <v>0</v>
      </c>
      <c r="H82" s="45" t="e">
        <f t="shared" ref="H82:H91" si="3">H81+($H$92-$H$81)/11</f>
        <v>#REF!</v>
      </c>
      <c r="I82" s="61">
        <v>320</v>
      </c>
      <c r="J82" s="10" t="e">
        <f t="shared" si="1"/>
        <v>#REF!</v>
      </c>
      <c r="K82" s="46"/>
    </row>
    <row r="83" spans="1:33" x14ac:dyDescent="0.25">
      <c r="A83" s="3">
        <v>40057</v>
      </c>
      <c r="B83" s="45">
        <v>13543492.501678014</v>
      </c>
      <c r="C83" s="59">
        <v>70.815384615384602</v>
      </c>
      <c r="D83" s="59">
        <v>27.34615384615385</v>
      </c>
      <c r="E83" s="62">
        <v>136.20167325485272</v>
      </c>
      <c r="F83" s="61">
        <v>30</v>
      </c>
      <c r="G83" s="61">
        <v>1</v>
      </c>
      <c r="H83" s="45" t="e">
        <f t="shared" si="3"/>
        <v>#REF!</v>
      </c>
      <c r="I83" s="61">
        <v>336</v>
      </c>
      <c r="J83" s="10" t="e">
        <f t="shared" si="1"/>
        <v>#REF!</v>
      </c>
      <c r="K83" s="46"/>
    </row>
    <row r="84" spans="1:33" x14ac:dyDescent="0.25">
      <c r="A84" s="3">
        <v>40087</v>
      </c>
      <c r="B84" s="45">
        <v>12894890.037395725</v>
      </c>
      <c r="C84" s="59">
        <v>259.90769230769229</v>
      </c>
      <c r="D84" s="59">
        <v>2.5846153846153848</v>
      </c>
      <c r="E84" s="62">
        <v>135.80962087393394</v>
      </c>
      <c r="F84" s="61">
        <v>31</v>
      </c>
      <c r="G84" s="61">
        <v>1</v>
      </c>
      <c r="H84" s="45" t="e">
        <f t="shared" si="3"/>
        <v>#REF!</v>
      </c>
      <c r="I84" s="61">
        <v>336</v>
      </c>
      <c r="J84" s="10" t="e">
        <f t="shared" si="1"/>
        <v>#REF!</v>
      </c>
      <c r="K84" s="46"/>
    </row>
    <row r="85" spans="1:33" x14ac:dyDescent="0.25">
      <c r="A85" s="3">
        <v>40118</v>
      </c>
      <c r="B85" s="45">
        <v>13116865.41375012</v>
      </c>
      <c r="C85" s="59">
        <v>424.6153846153847</v>
      </c>
      <c r="D85" s="59">
        <v>0</v>
      </c>
      <c r="E85" s="62">
        <v>135.41869700388958</v>
      </c>
      <c r="F85" s="61">
        <v>30</v>
      </c>
      <c r="G85" s="61">
        <v>1</v>
      </c>
      <c r="H85" s="45" t="e">
        <f t="shared" si="3"/>
        <v>#REF!</v>
      </c>
      <c r="I85" s="61">
        <v>320</v>
      </c>
      <c r="J85" s="10" t="e">
        <f t="shared" si="1"/>
        <v>#REF!</v>
      </c>
      <c r="K85" s="46"/>
    </row>
    <row r="86" spans="1:33" s="32" customFormat="1" x14ac:dyDescent="0.25">
      <c r="A86" s="3">
        <v>40148</v>
      </c>
      <c r="B86" s="45">
        <v>15243338.364176815</v>
      </c>
      <c r="C86" s="59">
        <v>614.35384615384623</v>
      </c>
      <c r="D86" s="59">
        <v>0</v>
      </c>
      <c r="E86" s="62">
        <v>135.02889839633545</v>
      </c>
      <c r="F86" s="61">
        <v>31</v>
      </c>
      <c r="G86" s="61">
        <v>0</v>
      </c>
      <c r="H86" s="45" t="e">
        <f t="shared" si="3"/>
        <v>#REF!</v>
      </c>
      <c r="I86" s="61">
        <v>352</v>
      </c>
      <c r="J86" s="10" t="e">
        <f t="shared" si="1"/>
        <v>#REF!</v>
      </c>
      <c r="K86" s="46"/>
      <c r="L86" s="1"/>
      <c r="M86"/>
      <c r="N86"/>
      <c r="O86"/>
      <c r="P86"/>
      <c r="Q86"/>
      <c r="R86"/>
      <c r="S86"/>
      <c r="T86"/>
      <c r="U86"/>
      <c r="V86"/>
      <c r="W86"/>
      <c r="X86"/>
      <c r="Y86" s="28"/>
      <c r="Z86" s="28"/>
      <c r="AA86" s="28"/>
      <c r="AB86" s="28"/>
      <c r="AC86" s="28"/>
      <c r="AD86" s="28"/>
      <c r="AE86" s="28"/>
      <c r="AF86" s="28"/>
      <c r="AG86" s="28"/>
    </row>
    <row r="87" spans="1:33" x14ac:dyDescent="0.25">
      <c r="A87" s="3">
        <v>40179</v>
      </c>
      <c r="B87" s="44">
        <v>14443779.611635899</v>
      </c>
      <c r="C87" s="59">
        <v>719.94353846153865</v>
      </c>
      <c r="D87" s="59">
        <v>0</v>
      </c>
      <c r="E87" s="62">
        <v>135.32901731143812</v>
      </c>
      <c r="F87" s="61">
        <v>31</v>
      </c>
      <c r="G87" s="61">
        <v>0</v>
      </c>
      <c r="H87" s="45" t="e">
        <f t="shared" si="3"/>
        <v>#REF!</v>
      </c>
      <c r="I87" s="61">
        <v>320</v>
      </c>
      <c r="J87" s="10" t="e">
        <f t="shared" si="1"/>
        <v>#REF!</v>
      </c>
      <c r="K87" s="46"/>
      <c r="Y87" s="11"/>
      <c r="Z87" s="11"/>
      <c r="AA87" s="11"/>
    </row>
    <row r="88" spans="1:33" x14ac:dyDescent="0.25">
      <c r="A88" s="3">
        <v>40210</v>
      </c>
      <c r="B88" s="44">
        <v>14461971.7063212</v>
      </c>
      <c r="C88" s="59">
        <v>633.67399999999998</v>
      </c>
      <c r="D88" s="59">
        <v>0</v>
      </c>
      <c r="E88" s="62">
        <v>135.62980327903304</v>
      </c>
      <c r="F88" s="61">
        <v>28</v>
      </c>
      <c r="G88" s="61">
        <v>0</v>
      </c>
      <c r="H88" s="45" t="e">
        <f t="shared" si="3"/>
        <v>#REF!</v>
      </c>
      <c r="I88" s="61">
        <v>304</v>
      </c>
      <c r="J88" s="10" t="e">
        <f t="shared" si="1"/>
        <v>#REF!</v>
      </c>
      <c r="K88" s="46"/>
    </row>
    <row r="89" spans="1:33" x14ac:dyDescent="0.25">
      <c r="A89" s="3">
        <v>40238</v>
      </c>
      <c r="B89" s="44">
        <v>14480163.8010065</v>
      </c>
      <c r="C89" s="59">
        <v>572.17276923076929</v>
      </c>
      <c r="D89" s="59">
        <v>0</v>
      </c>
      <c r="E89" s="62">
        <v>135.9312577817293</v>
      </c>
      <c r="F89" s="61">
        <v>31</v>
      </c>
      <c r="G89" s="61">
        <v>1</v>
      </c>
      <c r="H89" s="45" t="e">
        <f t="shared" si="3"/>
        <v>#REF!</v>
      </c>
      <c r="I89" s="61">
        <v>368</v>
      </c>
      <c r="J89" s="10" t="e">
        <f t="shared" si="1"/>
        <v>#REF!</v>
      </c>
      <c r="K89" s="46"/>
    </row>
    <row r="90" spans="1:33" x14ac:dyDescent="0.25">
      <c r="A90" s="3">
        <v>40269</v>
      </c>
      <c r="B90" s="44">
        <v>14498355.895691801</v>
      </c>
      <c r="C90" s="59">
        <v>345.17915384615389</v>
      </c>
      <c r="D90" s="59">
        <v>0.6215384615384616</v>
      </c>
      <c r="E90" s="62">
        <v>136.23338230543126</v>
      </c>
      <c r="F90" s="61">
        <v>30</v>
      </c>
      <c r="G90" s="61">
        <v>1</v>
      </c>
      <c r="H90" s="45" t="e">
        <f t="shared" si="3"/>
        <v>#REF!</v>
      </c>
      <c r="I90" s="61">
        <v>320</v>
      </c>
      <c r="J90" s="10" t="e">
        <f t="shared" si="1"/>
        <v>#REF!</v>
      </c>
      <c r="K90" s="46"/>
    </row>
    <row r="91" spans="1:33" x14ac:dyDescent="0.25">
      <c r="A91" s="3">
        <v>40299</v>
      </c>
      <c r="B91" s="44">
        <v>14516547.9903771</v>
      </c>
      <c r="C91" s="59">
        <v>180.11407692307694</v>
      </c>
      <c r="D91" s="59">
        <v>11.576153846153849</v>
      </c>
      <c r="E91" s="62">
        <v>136.53617833934589</v>
      </c>
      <c r="F91" s="61">
        <v>31</v>
      </c>
      <c r="G91" s="61">
        <v>1</v>
      </c>
      <c r="H91" s="45" t="e">
        <f t="shared" si="3"/>
        <v>#REF!</v>
      </c>
      <c r="I91" s="61">
        <v>320</v>
      </c>
      <c r="J91" s="10" t="e">
        <f t="shared" si="1"/>
        <v>#REF!</v>
      </c>
      <c r="K91" s="46"/>
    </row>
    <row r="92" spans="1:33" x14ac:dyDescent="0.25">
      <c r="A92" s="3">
        <v>40330</v>
      </c>
      <c r="B92" s="44">
        <v>14534740.0850624</v>
      </c>
      <c r="C92" s="59">
        <v>38.380000000000003</v>
      </c>
      <c r="D92" s="59">
        <v>61.812000000000005</v>
      </c>
      <c r="E92" s="62">
        <v>136.83964737599013</v>
      </c>
      <c r="F92" s="61">
        <v>30</v>
      </c>
      <c r="G92" s="61">
        <v>0</v>
      </c>
      <c r="H92" s="45">
        <f>'Rate Class Customer Model'!C3</f>
        <v>1605.5000000000005</v>
      </c>
      <c r="I92" s="61">
        <v>352</v>
      </c>
      <c r="J92" s="10">
        <f t="shared" si="1"/>
        <v>8473395.0689082518</v>
      </c>
      <c r="K92" s="46"/>
    </row>
    <row r="93" spans="1:33" x14ac:dyDescent="0.25">
      <c r="A93" s="3">
        <v>40360</v>
      </c>
      <c r="B93" s="44">
        <v>14552932.179747701</v>
      </c>
      <c r="C93" s="59">
        <v>6.9845384615384623</v>
      </c>
      <c r="D93" s="59">
        <v>97.923384615384606</v>
      </c>
      <c r="E93" s="62">
        <v>137.14379091119821</v>
      </c>
      <c r="F93" s="61">
        <v>31</v>
      </c>
      <c r="G93" s="61">
        <v>0</v>
      </c>
      <c r="H93" s="45" t="e">
        <f t="shared" ref="H93:H110" si="4">H92+($H$92-$H$81)/11</f>
        <v>#REF!</v>
      </c>
      <c r="I93" s="61">
        <v>336</v>
      </c>
      <c r="J93" s="10" t="e">
        <f t="shared" si="1"/>
        <v>#REF!</v>
      </c>
      <c r="K93" s="46"/>
    </row>
    <row r="94" spans="1:33" x14ac:dyDescent="0.25">
      <c r="A94" s="3">
        <v>40391</v>
      </c>
      <c r="B94" s="44">
        <v>14571124.274433</v>
      </c>
      <c r="C94" s="59">
        <v>10.977923076923078</v>
      </c>
      <c r="D94" s="59">
        <v>77.38930769230771</v>
      </c>
      <c r="E94" s="62">
        <v>137.44861044412903</v>
      </c>
      <c r="F94" s="61">
        <v>31</v>
      </c>
      <c r="G94" s="61">
        <v>0</v>
      </c>
      <c r="H94" s="45" t="e">
        <f t="shared" si="4"/>
        <v>#REF!</v>
      </c>
      <c r="I94" s="61">
        <v>336</v>
      </c>
      <c r="J94" s="10" t="e">
        <f t="shared" si="1"/>
        <v>#REF!</v>
      </c>
      <c r="K94" s="46"/>
    </row>
    <row r="95" spans="1:33" x14ac:dyDescent="0.25">
      <c r="A95" s="3">
        <v>40422</v>
      </c>
      <c r="B95" s="44">
        <v>14589316.369118299</v>
      </c>
      <c r="C95" s="59">
        <v>71.52353846153845</v>
      </c>
      <c r="D95" s="59">
        <v>27.61961538461539</v>
      </c>
      <c r="E95" s="62">
        <v>137.75410747727361</v>
      </c>
      <c r="F95" s="61">
        <v>30</v>
      </c>
      <c r="G95" s="61">
        <v>1</v>
      </c>
      <c r="H95" s="45" t="e">
        <f t="shared" si="4"/>
        <v>#REF!</v>
      </c>
      <c r="I95" s="61">
        <v>336</v>
      </c>
      <c r="J95" s="10" t="e">
        <f t="shared" si="1"/>
        <v>#REF!</v>
      </c>
      <c r="K95" s="46"/>
    </row>
    <row r="96" spans="1:33" x14ac:dyDescent="0.25">
      <c r="A96" s="3">
        <v>40452</v>
      </c>
      <c r="B96" s="44">
        <v>14607508.463803699</v>
      </c>
      <c r="C96" s="59">
        <v>262.50676923076924</v>
      </c>
      <c r="D96" s="59">
        <v>2.6104615384615388</v>
      </c>
      <c r="E96" s="62">
        <v>138.06028351646239</v>
      </c>
      <c r="F96" s="61">
        <v>31</v>
      </c>
      <c r="G96" s="61">
        <v>1</v>
      </c>
      <c r="H96" s="45" t="e">
        <f t="shared" si="4"/>
        <v>#REF!</v>
      </c>
      <c r="I96" s="61">
        <v>320</v>
      </c>
      <c r="J96" s="10" t="e">
        <f t="shared" si="1"/>
        <v>#REF!</v>
      </c>
      <c r="K96" s="46"/>
    </row>
    <row r="97" spans="1:11" x14ac:dyDescent="0.25">
      <c r="A97" s="3">
        <v>40483</v>
      </c>
      <c r="B97" s="44">
        <v>14625700.558489</v>
      </c>
      <c r="C97" s="59">
        <v>428.86153846153854</v>
      </c>
      <c r="D97" s="59">
        <v>0</v>
      </c>
      <c r="E97" s="62">
        <v>138.36714007087275</v>
      </c>
      <c r="F97" s="61">
        <v>30</v>
      </c>
      <c r="G97" s="61">
        <v>1</v>
      </c>
      <c r="H97" s="45" t="e">
        <f t="shared" si="4"/>
        <v>#REF!</v>
      </c>
      <c r="I97" s="61">
        <v>336</v>
      </c>
      <c r="J97" s="10" t="e">
        <f t="shared" si="1"/>
        <v>#REF!</v>
      </c>
      <c r="K97" s="46"/>
    </row>
    <row r="98" spans="1:11" x14ac:dyDescent="0.25">
      <c r="A98" s="3">
        <v>40513</v>
      </c>
      <c r="B98" s="44">
        <v>14643892.6531743</v>
      </c>
      <c r="C98" s="59">
        <v>620.4973846153847</v>
      </c>
      <c r="D98" s="59">
        <v>0</v>
      </c>
      <c r="E98" s="62">
        <v>138.67467865303649</v>
      </c>
      <c r="F98" s="61">
        <v>31</v>
      </c>
      <c r="G98" s="61">
        <v>0</v>
      </c>
      <c r="H98" s="45" t="e">
        <f t="shared" si="4"/>
        <v>#REF!</v>
      </c>
      <c r="I98" s="61">
        <v>368</v>
      </c>
      <c r="J98" s="10" t="e">
        <f t="shared" si="1"/>
        <v>#REF!</v>
      </c>
      <c r="K98" s="46"/>
    </row>
    <row r="99" spans="1:11" x14ac:dyDescent="0.25">
      <c r="A99" s="3">
        <v>40544</v>
      </c>
      <c r="C99" s="19">
        <f t="shared" ref="C99:D110" si="5">(C3+C15+C27+C39+C51+C63+C75+C87)/8</f>
        <v>717.5198653846154</v>
      </c>
      <c r="D99" s="19">
        <f t="shared" si="5"/>
        <v>0</v>
      </c>
      <c r="E99" s="62">
        <v>139.03916243618784</v>
      </c>
      <c r="F99" s="61">
        <v>31</v>
      </c>
      <c r="G99" s="61">
        <v>0</v>
      </c>
      <c r="H99" s="45" t="e">
        <f t="shared" si="4"/>
        <v>#REF!</v>
      </c>
      <c r="I99" s="61">
        <v>336</v>
      </c>
      <c r="J99" s="10" t="e">
        <f t="shared" si="1"/>
        <v>#REF!</v>
      </c>
      <c r="K99" s="46"/>
    </row>
    <row r="100" spans="1:11" x14ac:dyDescent="0.25">
      <c r="A100" s="3">
        <v>40575</v>
      </c>
      <c r="C100" s="19">
        <f t="shared" si="5"/>
        <v>661.63424999999995</v>
      </c>
      <c r="D100" s="19">
        <f t="shared" si="5"/>
        <v>0</v>
      </c>
      <c r="E100" s="62">
        <v>139.40460420553731</v>
      </c>
      <c r="F100" s="61">
        <v>28</v>
      </c>
      <c r="G100" s="61">
        <v>0</v>
      </c>
      <c r="H100" s="45" t="e">
        <f t="shared" si="4"/>
        <v>#REF!</v>
      </c>
      <c r="I100" s="61">
        <v>304</v>
      </c>
      <c r="J100" s="10" t="e">
        <f t="shared" si="1"/>
        <v>#REF!</v>
      </c>
      <c r="K100" s="46"/>
    </row>
    <row r="101" spans="1:11" x14ac:dyDescent="0.25">
      <c r="A101" s="3">
        <v>40603</v>
      </c>
      <c r="C101" s="19">
        <f t="shared" si="5"/>
        <v>576.21005769230771</v>
      </c>
      <c r="D101" s="19">
        <f t="shared" si="5"/>
        <v>0</v>
      </c>
      <c r="E101" s="62">
        <v>139.77100647899545</v>
      </c>
      <c r="F101" s="61">
        <v>31</v>
      </c>
      <c r="G101" s="61">
        <v>1</v>
      </c>
      <c r="H101" s="45" t="e">
        <f t="shared" si="4"/>
        <v>#REF!</v>
      </c>
      <c r="I101" s="61">
        <v>368</v>
      </c>
      <c r="J101" s="10" t="e">
        <f t="shared" si="1"/>
        <v>#REF!</v>
      </c>
      <c r="K101" s="46"/>
    </row>
    <row r="102" spans="1:11" x14ac:dyDescent="0.25">
      <c r="A102" s="3">
        <v>40634</v>
      </c>
      <c r="C102" s="19">
        <f t="shared" si="5"/>
        <v>340.21758653846155</v>
      </c>
      <c r="D102" s="19">
        <f t="shared" si="5"/>
        <v>0.15461538461538463</v>
      </c>
      <c r="E102" s="62">
        <v>140.13837178109071</v>
      </c>
      <c r="F102" s="61">
        <v>30</v>
      </c>
      <c r="G102" s="61">
        <v>1</v>
      </c>
      <c r="H102" s="45" t="e">
        <f t="shared" si="4"/>
        <v>#REF!</v>
      </c>
      <c r="I102" s="61">
        <v>320</v>
      </c>
      <c r="J102" s="10" t="e">
        <f t="shared" si="1"/>
        <v>#REF!</v>
      </c>
      <c r="K102" s="46"/>
    </row>
    <row r="103" spans="1:11" x14ac:dyDescent="0.25">
      <c r="A103" s="3">
        <v>40664</v>
      </c>
      <c r="C103" s="19">
        <f t="shared" si="5"/>
        <v>182.38060576923075</v>
      </c>
      <c r="D103" s="19">
        <f t="shared" si="5"/>
        <v>10.404711538461537</v>
      </c>
      <c r="E103" s="62">
        <v>140.50670264298682</v>
      </c>
      <c r="F103" s="61">
        <v>31</v>
      </c>
      <c r="G103" s="61">
        <v>1</v>
      </c>
      <c r="H103" s="45" t="e">
        <f t="shared" si="4"/>
        <v>#REF!</v>
      </c>
      <c r="I103" s="61">
        <v>336</v>
      </c>
      <c r="J103" s="10" t="e">
        <f t="shared" si="1"/>
        <v>#REF!</v>
      </c>
      <c r="K103" s="46"/>
    </row>
    <row r="104" spans="1:11" x14ac:dyDescent="0.25">
      <c r="A104" s="3">
        <v>40695</v>
      </c>
      <c r="C104" s="19">
        <f t="shared" si="5"/>
        <v>35.522499999999994</v>
      </c>
      <c r="D104" s="19">
        <f t="shared" si="5"/>
        <v>60.701499999999996</v>
      </c>
      <c r="E104" s="62">
        <v>140.87600160250034</v>
      </c>
      <c r="F104" s="61">
        <v>30</v>
      </c>
      <c r="G104" s="61">
        <v>0</v>
      </c>
      <c r="H104" s="45" t="e">
        <f t="shared" si="4"/>
        <v>#REF!</v>
      </c>
      <c r="I104" s="61">
        <v>352</v>
      </c>
      <c r="J104" s="10" t="e">
        <f t="shared" si="1"/>
        <v>#REF!</v>
      </c>
      <c r="K104" s="46"/>
    </row>
    <row r="105" spans="1:11" x14ac:dyDescent="0.25">
      <c r="A105" s="3">
        <v>40725</v>
      </c>
      <c r="C105" s="19">
        <f t="shared" si="5"/>
        <v>5.4999903846153844</v>
      </c>
      <c r="D105" s="19">
        <f t="shared" si="5"/>
        <v>100.10965384615385</v>
      </c>
      <c r="E105" s="62">
        <v>141.24627120411799</v>
      </c>
      <c r="F105" s="61">
        <v>31</v>
      </c>
      <c r="G105" s="61">
        <v>0</v>
      </c>
      <c r="H105" s="45" t="e">
        <f t="shared" si="4"/>
        <v>#REF!</v>
      </c>
      <c r="I105" s="61">
        <v>320</v>
      </c>
      <c r="J105" s="10" t="e">
        <f t="shared" si="1"/>
        <v>#REF!</v>
      </c>
      <c r="K105" s="46"/>
    </row>
    <row r="106" spans="1:11" x14ac:dyDescent="0.25">
      <c r="A106" s="3">
        <v>40756</v>
      </c>
      <c r="C106" s="19">
        <f t="shared" si="5"/>
        <v>12.11839423076923</v>
      </c>
      <c r="D106" s="19">
        <f t="shared" si="5"/>
        <v>77.551548076923083</v>
      </c>
      <c r="E106" s="62">
        <v>141.61751399901428</v>
      </c>
      <c r="F106" s="61">
        <v>31</v>
      </c>
      <c r="G106" s="61">
        <v>0</v>
      </c>
      <c r="H106" s="45" t="e">
        <f t="shared" si="4"/>
        <v>#REF!</v>
      </c>
      <c r="I106" s="61">
        <v>352</v>
      </c>
      <c r="J106" s="10" t="e">
        <f t="shared" si="1"/>
        <v>#REF!</v>
      </c>
      <c r="K106" s="46"/>
    </row>
    <row r="107" spans="1:11" x14ac:dyDescent="0.25">
      <c r="A107" s="3">
        <v>40787</v>
      </c>
      <c r="C107" s="19">
        <f t="shared" si="5"/>
        <v>65.47986538461538</v>
      </c>
      <c r="D107" s="19">
        <f t="shared" si="5"/>
        <v>23.520721153846154</v>
      </c>
      <c r="E107" s="62">
        <v>141.98973254506907</v>
      </c>
      <c r="F107" s="61">
        <v>30</v>
      </c>
      <c r="G107" s="61">
        <v>1</v>
      </c>
      <c r="H107" s="45" t="e">
        <f t="shared" si="4"/>
        <v>#REF!</v>
      </c>
      <c r="I107" s="61">
        <v>336</v>
      </c>
      <c r="J107" s="10" t="e">
        <f t="shared" si="1"/>
        <v>#REF!</v>
      </c>
      <c r="K107" s="46"/>
    </row>
    <row r="108" spans="1:11" x14ac:dyDescent="0.25">
      <c r="A108" s="3">
        <v>40817</v>
      </c>
      <c r="C108" s="19">
        <f t="shared" si="5"/>
        <v>257.87680769230769</v>
      </c>
      <c r="D108" s="19">
        <f t="shared" si="5"/>
        <v>3.2243846153846158</v>
      </c>
      <c r="E108" s="62">
        <v>142.3629294068852</v>
      </c>
      <c r="F108" s="61">
        <v>31</v>
      </c>
      <c r="G108" s="61">
        <v>1</v>
      </c>
      <c r="H108" s="45" t="e">
        <f t="shared" si="4"/>
        <v>#REF!</v>
      </c>
      <c r="I108" s="61">
        <v>320</v>
      </c>
      <c r="J108" s="10" t="e">
        <f t="shared" si="1"/>
        <v>#REF!</v>
      </c>
      <c r="K108" s="46"/>
    </row>
    <row r="109" spans="1:11" x14ac:dyDescent="0.25">
      <c r="A109" s="3">
        <v>40848</v>
      </c>
      <c r="C109" s="19">
        <f t="shared" si="5"/>
        <v>419.80961538461543</v>
      </c>
      <c r="D109" s="19">
        <f t="shared" si="5"/>
        <v>0</v>
      </c>
      <c r="E109" s="62">
        <v>142.73710715580614</v>
      </c>
      <c r="F109" s="61">
        <v>30</v>
      </c>
      <c r="G109" s="61">
        <v>1</v>
      </c>
      <c r="H109" s="45" t="e">
        <f t="shared" si="4"/>
        <v>#REF!</v>
      </c>
      <c r="I109" s="61">
        <v>352</v>
      </c>
      <c r="J109" s="10" t="e">
        <f t="shared" si="1"/>
        <v>#REF!</v>
      </c>
      <c r="K109" s="46"/>
    </row>
    <row r="110" spans="1:11" x14ac:dyDescent="0.25">
      <c r="A110" s="3">
        <v>40878</v>
      </c>
      <c r="C110" s="19">
        <f t="shared" si="5"/>
        <v>616.96890384615381</v>
      </c>
      <c r="D110" s="19">
        <f t="shared" si="5"/>
        <v>0</v>
      </c>
      <c r="E110" s="62">
        <v>143.11226836993367</v>
      </c>
      <c r="F110" s="61">
        <v>31</v>
      </c>
      <c r="G110" s="61">
        <v>0</v>
      </c>
      <c r="H110" s="45" t="e">
        <f t="shared" si="4"/>
        <v>#REF!</v>
      </c>
      <c r="I110" s="61">
        <v>336</v>
      </c>
      <c r="J110" s="10" t="e">
        <f t="shared" si="1"/>
        <v>#REF!</v>
      </c>
      <c r="K110" s="46"/>
    </row>
    <row r="111" spans="1:11" x14ac:dyDescent="0.25">
      <c r="A111" s="3">
        <v>40909</v>
      </c>
      <c r="C111" s="19">
        <f>C99</f>
        <v>717.5198653846154</v>
      </c>
      <c r="D111" s="19">
        <f>D99</f>
        <v>0</v>
      </c>
      <c r="E111" s="62">
        <v>143.48841563414587</v>
      </c>
      <c r="F111" s="61">
        <v>31</v>
      </c>
      <c r="G111" s="61">
        <v>0</v>
      </c>
      <c r="H111" s="45">
        <v>4857.7539123630704</v>
      </c>
      <c r="I111" s="61">
        <v>336</v>
      </c>
      <c r="J111" s="10">
        <f t="shared" si="1"/>
        <v>14622925.093181044</v>
      </c>
      <c r="K111" s="46"/>
    </row>
    <row r="112" spans="1:11" x14ac:dyDescent="0.25">
      <c r="A112" s="3">
        <v>40940</v>
      </c>
      <c r="C112" s="19">
        <f t="shared" ref="C112:D122" si="6">C100</f>
        <v>661.63424999999995</v>
      </c>
      <c r="D112" s="19">
        <f t="shared" si="6"/>
        <v>0</v>
      </c>
      <c r="E112" s="62">
        <v>143.86555154011452</v>
      </c>
      <c r="F112" s="61">
        <v>29</v>
      </c>
      <c r="G112" s="61">
        <v>0</v>
      </c>
      <c r="H112" s="45">
        <v>4866.3803513623598</v>
      </c>
      <c r="I112" s="61">
        <v>320</v>
      </c>
      <c r="J112" s="10">
        <f t="shared" si="1"/>
        <v>14581172.313524282</v>
      </c>
      <c r="K112" s="46"/>
    </row>
    <row r="113" spans="1:27" x14ac:dyDescent="0.25">
      <c r="A113" s="3">
        <v>40969</v>
      </c>
      <c r="C113" s="19">
        <f t="shared" si="6"/>
        <v>576.21005769230771</v>
      </c>
      <c r="D113" s="19">
        <f t="shared" si="6"/>
        <v>0</v>
      </c>
      <c r="E113" s="62">
        <v>144.24367868632334</v>
      </c>
      <c r="F113" s="61">
        <v>31</v>
      </c>
      <c r="G113" s="61">
        <v>1</v>
      </c>
      <c r="H113" s="45">
        <v>4875.00679036165</v>
      </c>
      <c r="I113" s="61">
        <v>352</v>
      </c>
      <c r="J113" s="10">
        <f t="shared" si="1"/>
        <v>14012740.714183584</v>
      </c>
      <c r="K113" s="46"/>
    </row>
    <row r="114" spans="1:27" x14ac:dyDescent="0.25">
      <c r="A114" s="3">
        <v>41000</v>
      </c>
      <c r="C114" s="19">
        <f t="shared" si="6"/>
        <v>340.21758653846155</v>
      </c>
      <c r="D114" s="19">
        <f t="shared" si="6"/>
        <v>0.15461538461538463</v>
      </c>
      <c r="E114" s="62">
        <v>144.62279967808564</v>
      </c>
      <c r="F114" s="61">
        <v>30</v>
      </c>
      <c r="G114" s="61">
        <v>1</v>
      </c>
      <c r="H114" s="45">
        <v>4883.6332293609503</v>
      </c>
      <c r="I114" s="61">
        <v>320</v>
      </c>
      <c r="J114" s="10">
        <f t="shared" si="1"/>
        <v>13769514.393982725</v>
      </c>
      <c r="K114" s="46"/>
    </row>
    <row r="115" spans="1:27" x14ac:dyDescent="0.25">
      <c r="A115" s="3">
        <v>41030</v>
      </c>
      <c r="C115" s="19">
        <f t="shared" si="6"/>
        <v>182.38060576923075</v>
      </c>
      <c r="D115" s="19">
        <f t="shared" si="6"/>
        <v>10.404711538461537</v>
      </c>
      <c r="E115" s="62">
        <v>145.00291712756245</v>
      </c>
      <c r="F115" s="61">
        <v>31</v>
      </c>
      <c r="G115" s="61">
        <v>1</v>
      </c>
      <c r="H115" s="45">
        <v>4892.2596683602396</v>
      </c>
      <c r="I115" s="61">
        <v>352</v>
      </c>
      <c r="J115" s="10">
        <f t="shared" si="1"/>
        <v>13726338.665215768</v>
      </c>
      <c r="K115" s="46"/>
    </row>
    <row r="116" spans="1:27" x14ac:dyDescent="0.25">
      <c r="A116" s="3">
        <v>41061</v>
      </c>
      <c r="C116" s="19">
        <f t="shared" si="6"/>
        <v>35.522499999999994</v>
      </c>
      <c r="D116" s="19">
        <f t="shared" si="6"/>
        <v>60.701499999999996</v>
      </c>
      <c r="E116" s="62">
        <v>145.38403365378039</v>
      </c>
      <c r="F116" s="61">
        <v>30</v>
      </c>
      <c r="G116" s="61">
        <v>0</v>
      </c>
      <c r="H116" s="45">
        <v>4900.8861073595299</v>
      </c>
      <c r="I116" s="61">
        <v>336</v>
      </c>
      <c r="J116" s="10">
        <f t="shared" si="1"/>
        <v>14990490.318745097</v>
      </c>
      <c r="K116" s="46"/>
    </row>
    <row r="117" spans="1:27" x14ac:dyDescent="0.25">
      <c r="A117" s="3">
        <v>41091</v>
      </c>
      <c r="C117" s="19">
        <f t="shared" si="6"/>
        <v>5.4999903846153844</v>
      </c>
      <c r="D117" s="19">
        <f t="shared" si="6"/>
        <v>100.10965384615385</v>
      </c>
      <c r="E117" s="62">
        <v>145.76615188264978</v>
      </c>
      <c r="F117" s="61">
        <v>31</v>
      </c>
      <c r="G117" s="61">
        <v>0</v>
      </c>
      <c r="H117" s="45">
        <v>4909.5125463588201</v>
      </c>
      <c r="I117" s="61">
        <v>336</v>
      </c>
      <c r="J117" s="10">
        <f t="shared" si="1"/>
        <v>15756009.517934555</v>
      </c>
      <c r="K117" s="46"/>
    </row>
    <row r="118" spans="1:27" x14ac:dyDescent="0.25">
      <c r="A118" s="3">
        <v>41122</v>
      </c>
      <c r="C118" s="19">
        <f t="shared" si="6"/>
        <v>12.11839423076923</v>
      </c>
      <c r="D118" s="19">
        <f t="shared" si="6"/>
        <v>77.551548076923083</v>
      </c>
      <c r="E118" s="62">
        <v>146.14927444698273</v>
      </c>
      <c r="F118" s="61">
        <v>31</v>
      </c>
      <c r="G118" s="61">
        <v>0</v>
      </c>
      <c r="H118" s="45">
        <v>4918.1389853581204</v>
      </c>
      <c r="I118" s="61">
        <v>352</v>
      </c>
      <c r="J118" s="10">
        <f t="shared" si="1"/>
        <v>15313635.957680922</v>
      </c>
      <c r="K118" s="46"/>
    </row>
    <row r="119" spans="1:27" x14ac:dyDescent="0.25">
      <c r="A119" s="3">
        <v>41153</v>
      </c>
      <c r="C119" s="19">
        <f t="shared" si="6"/>
        <v>65.47986538461538</v>
      </c>
      <c r="D119" s="19">
        <f t="shared" si="6"/>
        <v>23.520721153846154</v>
      </c>
      <c r="E119" s="62">
        <v>146.53340398651127</v>
      </c>
      <c r="F119" s="61">
        <v>30</v>
      </c>
      <c r="G119" s="61">
        <v>1</v>
      </c>
      <c r="H119" s="45">
        <v>4926.7654243574098</v>
      </c>
      <c r="I119" s="61">
        <v>304</v>
      </c>
      <c r="J119" s="10">
        <f t="shared" si="1"/>
        <v>13998893.11542627</v>
      </c>
      <c r="K119" s="46"/>
    </row>
    <row r="120" spans="1:27" x14ac:dyDescent="0.25">
      <c r="A120" s="3">
        <v>41183</v>
      </c>
      <c r="C120" s="19">
        <f t="shared" si="6"/>
        <v>257.87680769230769</v>
      </c>
      <c r="D120" s="19">
        <f t="shared" si="6"/>
        <v>3.2243846153846158</v>
      </c>
      <c r="E120" s="62">
        <v>146.91854314790552</v>
      </c>
      <c r="F120" s="61">
        <v>31</v>
      </c>
      <c r="G120" s="61">
        <v>1</v>
      </c>
      <c r="H120" s="45">
        <v>4935.3918633567</v>
      </c>
      <c r="I120" s="61">
        <v>352</v>
      </c>
      <c r="J120" s="10">
        <f t="shared" si="1"/>
        <v>13801523.968208939</v>
      </c>
      <c r="K120" s="46"/>
    </row>
    <row r="121" spans="1:27" x14ac:dyDescent="0.25">
      <c r="A121" s="3">
        <v>41214</v>
      </c>
      <c r="C121" s="19">
        <f t="shared" si="6"/>
        <v>419.80961538461543</v>
      </c>
      <c r="D121" s="19">
        <f t="shared" si="6"/>
        <v>0</v>
      </c>
      <c r="E121" s="62">
        <v>147.30469458479195</v>
      </c>
      <c r="F121" s="61">
        <v>30</v>
      </c>
      <c r="G121" s="61">
        <v>1</v>
      </c>
      <c r="H121" s="45">
        <v>4944.0183023559903</v>
      </c>
      <c r="I121" s="61">
        <v>352</v>
      </c>
      <c r="J121" s="10">
        <f t="shared" si="1"/>
        <v>13971710.330007341</v>
      </c>
      <c r="K121" s="46"/>
    </row>
    <row r="122" spans="1:27" x14ac:dyDescent="0.25">
      <c r="A122" s="3">
        <v>41244</v>
      </c>
      <c r="C122" s="19">
        <f t="shared" si="6"/>
        <v>616.96890384615381</v>
      </c>
      <c r="D122" s="19">
        <f t="shared" si="6"/>
        <v>0</v>
      </c>
      <c r="E122" s="62">
        <v>147.69186095777155</v>
      </c>
      <c r="F122" s="61">
        <v>31</v>
      </c>
      <c r="G122" s="61">
        <v>0</v>
      </c>
      <c r="H122" s="45">
        <v>4952.6447413552896</v>
      </c>
      <c r="I122" s="61">
        <v>304</v>
      </c>
      <c r="J122" s="10">
        <f t="shared" si="1"/>
        <v>14797467.282259243</v>
      </c>
      <c r="K122" s="46"/>
    </row>
    <row r="123" spans="1:27" x14ac:dyDescent="0.25">
      <c r="A123" s="3"/>
      <c r="E123" s="34"/>
      <c r="F123" s="10"/>
      <c r="G123" s="10"/>
      <c r="H123" s="18"/>
      <c r="I123" s="53"/>
      <c r="J123" s="10"/>
      <c r="K123" s="46"/>
    </row>
    <row r="124" spans="1:27" x14ac:dyDescent="0.25">
      <c r="A124" s="3"/>
      <c r="C124" s="20"/>
      <c r="D124" s="1" t="s">
        <v>15</v>
      </c>
      <c r="J124" s="46" t="e">
        <f>SUM(J3:J110)</f>
        <v>#REF!</v>
      </c>
    </row>
    <row r="125" spans="1:27" x14ac:dyDescent="0.25">
      <c r="A125" s="3"/>
    </row>
    <row r="126" spans="1:27" x14ac:dyDescent="0.25">
      <c r="A126" s="17">
        <v>2003</v>
      </c>
      <c r="B126" s="6">
        <f>SUM(B3:B14)</f>
        <v>158038183.58194679</v>
      </c>
      <c r="J126" s="6">
        <f>SUM(J3:J14)</f>
        <v>156637219.28227234</v>
      </c>
      <c r="K126" s="37">
        <f t="shared" ref="K126:K133" si="7">J126-B126</f>
        <v>-1400964.2996744514</v>
      </c>
      <c r="L126" s="5">
        <f t="shared" ref="L126:L133" si="8">K126/B126</f>
        <v>-8.8647203348045066E-3</v>
      </c>
    </row>
    <row r="127" spans="1:27" x14ac:dyDescent="0.25">
      <c r="A127">
        <v>2004</v>
      </c>
      <c r="B127" s="6">
        <f>SUM(B15:B26)</f>
        <v>160037061.02505261</v>
      </c>
      <c r="J127" s="6">
        <f>SUM(J15:J26)</f>
        <v>156109205.6521461</v>
      </c>
      <c r="K127" s="37">
        <f t="shared" si="7"/>
        <v>-3927855.3729065061</v>
      </c>
      <c r="L127" s="5">
        <f t="shared" si="8"/>
        <v>-2.4543411055840555E-2</v>
      </c>
    </row>
    <row r="128" spans="1:27" x14ac:dyDescent="0.25">
      <c r="A128" s="17">
        <v>2005</v>
      </c>
      <c r="B128" s="6">
        <f>SUM(B27:B38)</f>
        <v>156326316.58060813</v>
      </c>
      <c r="J128" s="6">
        <f>SUM(J27:J38)</f>
        <v>161799849.34457815</v>
      </c>
      <c r="K128" s="37">
        <f t="shared" si="7"/>
        <v>5473532.7639700174</v>
      </c>
      <c r="L128" s="5">
        <f t="shared" si="8"/>
        <v>3.5013508177605172E-2</v>
      </c>
      <c r="Y128" s="11"/>
      <c r="Z128" s="11"/>
      <c r="AA128" s="11"/>
    </row>
    <row r="129" spans="1:27" x14ac:dyDescent="0.25">
      <c r="A129">
        <v>2006</v>
      </c>
      <c r="B129" s="6">
        <f>SUM(B39:B50)</f>
        <v>160091492.42444345</v>
      </c>
      <c r="J129" s="6">
        <f>SUM(J39:J50)</f>
        <v>162128982.51482001</v>
      </c>
      <c r="K129" s="37">
        <f t="shared" si="7"/>
        <v>2037490.0903765559</v>
      </c>
      <c r="L129" s="5">
        <f t="shared" si="8"/>
        <v>1.2727035394077338E-2</v>
      </c>
    </row>
    <row r="130" spans="1:27" x14ac:dyDescent="0.25">
      <c r="A130" s="17">
        <v>2007</v>
      </c>
      <c r="B130" s="6">
        <f>SUM(B51:B62)</f>
        <v>172952072.40387383</v>
      </c>
      <c r="J130" s="6">
        <f>SUM(J51:J62)</f>
        <v>170113699.29655862</v>
      </c>
      <c r="K130" s="37">
        <f t="shared" si="7"/>
        <v>-2838373.1073152125</v>
      </c>
      <c r="L130" s="5">
        <f t="shared" si="8"/>
        <v>-1.6411327530595335E-2</v>
      </c>
    </row>
    <row r="131" spans="1:27" x14ac:dyDescent="0.25">
      <c r="A131">
        <v>2008</v>
      </c>
      <c r="B131" s="6">
        <f>SUM(B63:B74)</f>
        <v>170443291.66746572</v>
      </c>
      <c r="J131" s="6">
        <f>SUM(J63:J74)</f>
        <v>169302528.82929647</v>
      </c>
      <c r="K131" s="37">
        <f t="shared" si="7"/>
        <v>-1140762.8381692469</v>
      </c>
      <c r="L131" s="5">
        <f t="shared" si="8"/>
        <v>-6.6929171984948009E-3</v>
      </c>
    </row>
    <row r="132" spans="1:27" x14ac:dyDescent="0.25">
      <c r="A132" s="17">
        <v>2009</v>
      </c>
      <c r="B132" s="6">
        <f>SUM(B75:B86)</f>
        <v>170443291.66746572</v>
      </c>
      <c r="J132" s="6" t="e">
        <f>SUM(J75:J86)</f>
        <v>#REF!</v>
      </c>
      <c r="K132" s="37" t="e">
        <f>J132-B132</f>
        <v>#REF!</v>
      </c>
      <c r="L132" s="5" t="e">
        <f>K132/B132</f>
        <v>#REF!</v>
      </c>
    </row>
    <row r="133" spans="1:27" x14ac:dyDescent="0.25">
      <c r="A133">
        <v>2010</v>
      </c>
      <c r="B133" s="6">
        <f>SUM(B87:B98)</f>
        <v>174526033.5888609</v>
      </c>
      <c r="J133" s="6" t="e">
        <f>SUM(J87:J98)</f>
        <v>#REF!</v>
      </c>
      <c r="K133" s="37" t="e">
        <f t="shared" si="7"/>
        <v>#REF!</v>
      </c>
      <c r="L133" s="5" t="e">
        <f t="shared" si="8"/>
        <v>#REF!</v>
      </c>
    </row>
    <row r="134" spans="1:27" x14ac:dyDescent="0.25">
      <c r="A134" s="17">
        <v>2011</v>
      </c>
      <c r="J134" s="6" t="e">
        <f>SUM(J99:J110)</f>
        <v>#REF!</v>
      </c>
    </row>
    <row r="135" spans="1:27" x14ac:dyDescent="0.25">
      <c r="A135" s="17">
        <v>2012</v>
      </c>
      <c r="J135" s="6">
        <f>SUM(J111:J122)</f>
        <v>173342421.67034978</v>
      </c>
    </row>
    <row r="136" spans="1:27" x14ac:dyDescent="0.25">
      <c r="J136" s="6"/>
    </row>
    <row r="137" spans="1:27" x14ac:dyDescent="0.25">
      <c r="A137" t="s">
        <v>79</v>
      </c>
      <c r="B137" s="6">
        <f>SUM(B126:B133)</f>
        <v>1322857742.9397173</v>
      </c>
      <c r="J137" s="6" t="e">
        <f>SUM(J126:J133)</f>
        <v>#REF!</v>
      </c>
      <c r="K137" s="6" t="e">
        <f>J137-B137</f>
        <v>#REF!</v>
      </c>
    </row>
    <row r="138" spans="1:27" x14ac:dyDescent="0.25">
      <c r="J138" s="6"/>
      <c r="K138" s="6"/>
    </row>
    <row r="139" spans="1:27" x14ac:dyDescent="0.25">
      <c r="J139" s="6" t="e">
        <f>SUM(J126:J134)</f>
        <v>#REF!</v>
      </c>
      <c r="K139" s="46" t="e">
        <f>J124-J139</f>
        <v>#REF!</v>
      </c>
    </row>
    <row r="140" spans="1:27" x14ac:dyDescent="0.25">
      <c r="J140" s="20"/>
      <c r="K140" s="20" t="s">
        <v>65</v>
      </c>
      <c r="L140" s="20"/>
    </row>
    <row r="141" spans="1:27" x14ac:dyDescent="0.25">
      <c r="Y141" s="11"/>
      <c r="Z141" s="11"/>
      <c r="AA141" s="11"/>
    </row>
    <row r="153" spans="25:27" x14ac:dyDescent="0.25">
      <c r="Y153" s="11"/>
      <c r="Z153" s="11"/>
      <c r="AA153" s="11"/>
    </row>
  </sheetData>
  <pageMargins left="0.38" right="0.75" top="0.73" bottom="0.74" header="0.5" footer="0.5"/>
  <pageSetup orientation="landscape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2:AG152"/>
  <sheetViews>
    <sheetView workbookViewId="0"/>
  </sheetViews>
  <sheetFormatPr defaultColWidth="9.33203125" defaultRowHeight="13.2" x14ac:dyDescent="0.25"/>
  <cols>
    <col min="1" max="1" width="11.6640625" customWidth="1"/>
    <col min="2" max="2" width="18" style="6" customWidth="1"/>
    <col min="3" max="3" width="11.6640625" style="1" customWidth="1"/>
    <col min="4" max="4" width="13.44140625" style="1" customWidth="1"/>
    <col min="5" max="5" width="14.44140625" style="35" customWidth="1"/>
    <col min="6" max="6" width="10.33203125" style="1" customWidth="1"/>
    <col min="7" max="8" width="12.44140625" style="1" customWidth="1"/>
    <col min="9" max="9" width="13" style="1" customWidth="1"/>
    <col min="10" max="10" width="15.44140625" style="1" bestFit="1" customWidth="1"/>
    <col min="11" max="11" width="17" style="1" customWidth="1"/>
    <col min="12" max="12" width="12.44140625" style="1" customWidth="1"/>
    <col min="13" max="13" width="25.6640625" bestFit="1" customWidth="1"/>
    <col min="14" max="16" width="18" customWidth="1"/>
    <col min="17" max="17" width="17.33203125" customWidth="1"/>
    <col min="18" max="19" width="15.6640625" customWidth="1"/>
    <col min="20" max="20" width="15" customWidth="1"/>
    <col min="21" max="22" width="14.33203125" bestFit="1" customWidth="1"/>
    <col min="23" max="24" width="11.6640625" bestFit="1" customWidth="1"/>
    <col min="25" max="25" width="12.5546875" style="6" customWidth="1"/>
    <col min="26" max="26" width="11.33203125" style="6" customWidth="1"/>
    <col min="27" max="27" width="11.5546875" style="6" customWidth="1"/>
    <col min="28" max="28" width="9.33203125" style="6" customWidth="1"/>
    <col min="29" max="29" width="9.33203125" style="6"/>
    <col min="30" max="30" width="11.6640625" style="6" bestFit="1" customWidth="1"/>
    <col min="31" max="31" width="10.6640625" style="6" bestFit="1" customWidth="1"/>
    <col min="32" max="33" width="9.33203125" style="6"/>
  </cols>
  <sheetData>
    <row r="2" spans="1:27" ht="42" customHeight="1" x14ac:dyDescent="0.25">
      <c r="B2" s="7" t="s">
        <v>70</v>
      </c>
      <c r="C2" s="12" t="s">
        <v>3</v>
      </c>
      <c r="D2" s="12" t="s">
        <v>4</v>
      </c>
      <c r="E2" s="33" t="s">
        <v>7</v>
      </c>
      <c r="F2" s="12" t="s">
        <v>5</v>
      </c>
      <c r="G2" s="12" t="s">
        <v>26</v>
      </c>
      <c r="H2" s="12" t="s">
        <v>66</v>
      </c>
      <c r="I2" s="12" t="s">
        <v>6</v>
      </c>
      <c r="J2" s="12" t="s">
        <v>12</v>
      </c>
      <c r="K2" s="12" t="s">
        <v>13</v>
      </c>
      <c r="L2" s="12" t="s">
        <v>14</v>
      </c>
      <c r="M2" t="s">
        <v>27</v>
      </c>
      <c r="Y2" s="9"/>
      <c r="Z2" s="9"/>
      <c r="AA2" s="9"/>
    </row>
    <row r="3" spans="1:27" ht="13.8" thickBot="1" x14ac:dyDescent="0.3">
      <c r="A3" s="3">
        <v>37622</v>
      </c>
      <c r="B3" s="44">
        <v>74026706.875119522</v>
      </c>
      <c r="C3" s="59">
        <v>829.5</v>
      </c>
      <c r="D3" s="59">
        <v>0</v>
      </c>
      <c r="E3" s="62">
        <v>125.66024937363977</v>
      </c>
      <c r="F3" s="61">
        <v>31</v>
      </c>
      <c r="G3" s="61">
        <v>0</v>
      </c>
      <c r="H3" s="45">
        <v>949</v>
      </c>
      <c r="I3" s="61">
        <v>351.91199999999998</v>
      </c>
      <c r="J3" s="10">
        <f t="shared" ref="J3:J66" si="0">$N$18+C3*$N$19+D3*$N$20+E3*$N$21+F3*$N$22+G3*$N$23+H3*$N$24+I3*$N$25</f>
        <v>79852023.276446566</v>
      </c>
      <c r="K3" s="10"/>
      <c r="L3" s="14"/>
    </row>
    <row r="4" spans="1:27" x14ac:dyDescent="0.25">
      <c r="A4" s="3">
        <v>37653</v>
      </c>
      <c r="B4" s="44">
        <v>76586153.241537571</v>
      </c>
      <c r="C4" s="59">
        <v>699.2</v>
      </c>
      <c r="D4" s="59">
        <v>0</v>
      </c>
      <c r="E4" s="62">
        <v>125.80592062045517</v>
      </c>
      <c r="F4" s="61">
        <v>28</v>
      </c>
      <c r="G4" s="61">
        <v>0</v>
      </c>
      <c r="H4" s="45">
        <v>960</v>
      </c>
      <c r="I4" s="61">
        <v>319.87200000000001</v>
      </c>
      <c r="J4" s="10">
        <f t="shared" si="0"/>
        <v>76809178.239413798</v>
      </c>
      <c r="K4" s="10"/>
      <c r="L4" s="14"/>
      <c r="M4" s="50" t="s">
        <v>28</v>
      </c>
      <c r="N4" s="50"/>
    </row>
    <row r="5" spans="1:27" x14ac:dyDescent="0.25">
      <c r="A5" s="3">
        <v>37681</v>
      </c>
      <c r="B5" s="44">
        <v>79534872.46127367</v>
      </c>
      <c r="C5" s="59">
        <v>593.1</v>
      </c>
      <c r="D5" s="59">
        <v>0</v>
      </c>
      <c r="E5" s="62">
        <v>125.9517607362029</v>
      </c>
      <c r="F5" s="61">
        <v>31</v>
      </c>
      <c r="G5" s="61">
        <v>1</v>
      </c>
      <c r="H5" s="45">
        <v>959</v>
      </c>
      <c r="I5" s="61">
        <v>336.28800000000001</v>
      </c>
      <c r="J5" s="10">
        <f t="shared" si="0"/>
        <v>77921688.526895776</v>
      </c>
      <c r="K5" s="10"/>
      <c r="L5" s="14"/>
      <c r="M5" s="36" t="s">
        <v>29</v>
      </c>
      <c r="N5" s="58">
        <v>0.73777408303790182</v>
      </c>
    </row>
    <row r="6" spans="1:27" x14ac:dyDescent="0.25">
      <c r="A6" s="3">
        <v>37712</v>
      </c>
      <c r="B6" s="44">
        <v>74709560.030598581</v>
      </c>
      <c r="C6" s="59">
        <v>387.1</v>
      </c>
      <c r="D6" s="59">
        <v>0</v>
      </c>
      <c r="E6" s="62">
        <v>126.09776991664374</v>
      </c>
      <c r="F6" s="61">
        <v>30</v>
      </c>
      <c r="G6" s="61">
        <v>1</v>
      </c>
      <c r="H6" s="45">
        <v>963</v>
      </c>
      <c r="I6" s="61">
        <v>336.24</v>
      </c>
      <c r="J6" s="10">
        <f t="shared" si="0"/>
        <v>76430003.586352974</v>
      </c>
      <c r="K6" s="10"/>
      <c r="L6" s="14"/>
      <c r="M6" s="36" t="s">
        <v>30</v>
      </c>
      <c r="N6" s="58">
        <v>0.54431059760241685</v>
      </c>
    </row>
    <row r="7" spans="1:27" x14ac:dyDescent="0.25">
      <c r="A7" s="3">
        <v>37742</v>
      </c>
      <c r="B7" s="44">
        <v>75955021.87798813</v>
      </c>
      <c r="C7" s="59">
        <v>215.8</v>
      </c>
      <c r="D7" s="59">
        <v>0</v>
      </c>
      <c r="E7" s="62">
        <v>126.2439483577654</v>
      </c>
      <c r="F7" s="61">
        <v>31</v>
      </c>
      <c r="G7" s="61">
        <v>1</v>
      </c>
      <c r="H7" s="45">
        <v>968</v>
      </c>
      <c r="I7" s="61">
        <v>336.28800000000001</v>
      </c>
      <c r="J7" s="10">
        <f t="shared" si="0"/>
        <v>76386322.318335727</v>
      </c>
      <c r="K7" s="10"/>
      <c r="L7" s="14"/>
      <c r="M7" s="36" t="s">
        <v>31</v>
      </c>
      <c r="N7" s="58">
        <v>0.50806257695715462</v>
      </c>
    </row>
    <row r="8" spans="1:27" x14ac:dyDescent="0.25">
      <c r="A8" s="3">
        <v>37773</v>
      </c>
      <c r="B8" s="44">
        <v>76426794.042838007</v>
      </c>
      <c r="C8" s="59">
        <v>54.5</v>
      </c>
      <c r="D8" s="59">
        <v>41.4</v>
      </c>
      <c r="E8" s="62">
        <v>126.3902962557828</v>
      </c>
      <c r="F8" s="61">
        <v>30</v>
      </c>
      <c r="G8" s="61">
        <v>0</v>
      </c>
      <c r="H8" s="45">
        <v>969</v>
      </c>
      <c r="I8" s="61">
        <v>336.24</v>
      </c>
      <c r="J8" s="10">
        <f t="shared" si="0"/>
        <v>79012358.539394453</v>
      </c>
      <c r="K8" s="10"/>
      <c r="L8" s="14"/>
      <c r="M8" s="36" t="s">
        <v>32</v>
      </c>
      <c r="N8" s="56">
        <v>2725951.837672113</v>
      </c>
    </row>
    <row r="9" spans="1:27" ht="13.8" thickBot="1" x14ac:dyDescent="0.3">
      <c r="A9" s="3">
        <v>37803</v>
      </c>
      <c r="B9" s="44">
        <v>83654451.357812196</v>
      </c>
      <c r="C9" s="59">
        <v>6.5</v>
      </c>
      <c r="D9" s="59">
        <v>83.9</v>
      </c>
      <c r="E9" s="62">
        <v>126.5368138071383</v>
      </c>
      <c r="F9" s="61">
        <v>31</v>
      </c>
      <c r="G9" s="61">
        <v>0</v>
      </c>
      <c r="H9" s="45">
        <v>970</v>
      </c>
      <c r="I9" s="61">
        <v>351.91199999999998</v>
      </c>
      <c r="J9" s="10">
        <f t="shared" si="0"/>
        <v>83213133.267395094</v>
      </c>
      <c r="K9" s="10"/>
      <c r="L9" s="14"/>
      <c r="M9" s="48" t="s">
        <v>33</v>
      </c>
      <c r="N9" s="48">
        <v>96</v>
      </c>
    </row>
    <row r="10" spans="1:27" x14ac:dyDescent="0.25">
      <c r="A10" s="3">
        <v>37834</v>
      </c>
      <c r="B10" s="44">
        <v>81075683.304647163</v>
      </c>
      <c r="C10" s="59">
        <v>5.7</v>
      </c>
      <c r="D10" s="59">
        <v>102.6</v>
      </c>
      <c r="E10" s="62">
        <v>126.68350120850199</v>
      </c>
      <c r="F10" s="61">
        <v>31</v>
      </c>
      <c r="G10" s="61">
        <v>0</v>
      </c>
      <c r="H10" s="45">
        <v>971</v>
      </c>
      <c r="I10" s="61">
        <v>319.92</v>
      </c>
      <c r="J10" s="10">
        <f t="shared" si="0"/>
        <v>83934173.302139997</v>
      </c>
      <c r="K10" s="10"/>
      <c r="L10" s="14"/>
    </row>
    <row r="11" spans="1:27" ht="13.8" thickBot="1" x14ac:dyDescent="0.3">
      <c r="A11" s="3">
        <v>37865</v>
      </c>
      <c r="B11" s="44">
        <v>78753349.378466234</v>
      </c>
      <c r="C11" s="59">
        <v>73.900000000000006</v>
      </c>
      <c r="D11" s="59">
        <v>14.8</v>
      </c>
      <c r="E11" s="62">
        <v>126.83035865677196</v>
      </c>
      <c r="F11" s="61">
        <v>30</v>
      </c>
      <c r="G11" s="61">
        <v>1</v>
      </c>
      <c r="H11" s="45">
        <v>970</v>
      </c>
      <c r="I11" s="61">
        <v>336.24</v>
      </c>
      <c r="J11" s="10">
        <f t="shared" si="0"/>
        <v>76273136.853288844</v>
      </c>
      <c r="K11" s="10"/>
      <c r="L11" s="14"/>
      <c r="M11" t="s">
        <v>34</v>
      </c>
    </row>
    <row r="12" spans="1:27" x14ac:dyDescent="0.25">
      <c r="A12" s="3">
        <v>37895</v>
      </c>
      <c r="B12" s="44">
        <v>77418502.314017966</v>
      </c>
      <c r="C12" s="59">
        <v>293.5</v>
      </c>
      <c r="D12" s="59">
        <v>0</v>
      </c>
      <c r="E12" s="62">
        <v>126.97738634907456</v>
      </c>
      <c r="F12" s="61">
        <v>31</v>
      </c>
      <c r="G12" s="61">
        <v>1</v>
      </c>
      <c r="H12" s="45">
        <v>976</v>
      </c>
      <c r="I12" s="61">
        <v>351.91199999999998</v>
      </c>
      <c r="J12" s="10">
        <f t="shared" si="0"/>
        <v>77205038.620879978</v>
      </c>
      <c r="K12" s="10"/>
      <c r="L12" s="14"/>
      <c r="M12" s="49"/>
      <c r="N12" s="49" t="s">
        <v>38</v>
      </c>
      <c r="O12" s="49" t="s">
        <v>39</v>
      </c>
      <c r="P12" s="49" t="s">
        <v>40</v>
      </c>
      <c r="Q12" s="49" t="s">
        <v>41</v>
      </c>
      <c r="R12" s="49" t="s">
        <v>42</v>
      </c>
    </row>
    <row r="13" spans="1:27" x14ac:dyDescent="0.25">
      <c r="A13" s="3">
        <v>37926</v>
      </c>
      <c r="B13" s="44">
        <v>76366544.578313246</v>
      </c>
      <c r="C13" s="59">
        <v>391.5</v>
      </c>
      <c r="D13" s="59">
        <v>0</v>
      </c>
      <c r="E13" s="62">
        <v>127.12458448276465</v>
      </c>
      <c r="F13" s="61">
        <v>30</v>
      </c>
      <c r="G13" s="61">
        <v>1</v>
      </c>
      <c r="H13" s="45">
        <v>983</v>
      </c>
      <c r="I13" s="61">
        <v>319.68</v>
      </c>
      <c r="J13" s="10">
        <f t="shared" si="0"/>
        <v>76365677.885303423</v>
      </c>
      <c r="K13" s="10"/>
      <c r="L13" s="14"/>
      <c r="M13" s="36" t="s">
        <v>35</v>
      </c>
      <c r="N13" s="36">
        <v>7</v>
      </c>
      <c r="O13" s="36">
        <v>781082468895303.5</v>
      </c>
      <c r="P13" s="36">
        <v>111583209842186.22</v>
      </c>
      <c r="Q13" s="36">
        <v>15.016284693977068</v>
      </c>
      <c r="R13" s="36">
        <v>9.34571782004362E-13</v>
      </c>
    </row>
    <row r="14" spans="1:27" x14ac:dyDescent="0.25">
      <c r="A14" s="3">
        <v>37956</v>
      </c>
      <c r="B14" s="44">
        <v>76284499.062918335</v>
      </c>
      <c r="C14" s="59">
        <v>571</v>
      </c>
      <c r="D14" s="59">
        <v>0</v>
      </c>
      <c r="E14" s="62">
        <v>127.27195325542573</v>
      </c>
      <c r="F14" s="61">
        <v>31</v>
      </c>
      <c r="G14" s="61">
        <v>0</v>
      </c>
      <c r="H14" s="45">
        <v>987</v>
      </c>
      <c r="I14" s="61">
        <v>336.28800000000001</v>
      </c>
      <c r="J14" s="10">
        <f t="shared" si="0"/>
        <v>78951574.4375121</v>
      </c>
      <c r="K14" s="10"/>
      <c r="L14" s="14"/>
      <c r="M14" s="36" t="s">
        <v>36</v>
      </c>
      <c r="N14" s="36">
        <v>88</v>
      </c>
      <c r="O14" s="36">
        <v>653911581075101.25</v>
      </c>
      <c r="P14" s="36">
        <v>7430813421307.9688</v>
      </c>
      <c r="Q14" s="36"/>
      <c r="R14" s="36"/>
    </row>
    <row r="15" spans="1:27" ht="13.8" thickBot="1" x14ac:dyDescent="0.3">
      <c r="A15" s="3">
        <v>37987</v>
      </c>
      <c r="B15" s="44">
        <v>84758130.770701841</v>
      </c>
      <c r="C15" s="59">
        <v>859.1</v>
      </c>
      <c r="D15" s="59">
        <v>0</v>
      </c>
      <c r="E15" s="62">
        <v>127.53411264087498</v>
      </c>
      <c r="F15" s="61">
        <v>31</v>
      </c>
      <c r="G15" s="61">
        <v>0</v>
      </c>
      <c r="H15" s="45">
        <v>986</v>
      </c>
      <c r="I15" s="61">
        <v>336.28800000000001</v>
      </c>
      <c r="J15" s="10">
        <f t="shared" si="0"/>
        <v>80196350.943077758</v>
      </c>
      <c r="K15" s="10"/>
      <c r="L15" s="14"/>
      <c r="M15" s="48" t="s">
        <v>11</v>
      </c>
      <c r="N15" s="48">
        <v>95</v>
      </c>
      <c r="O15" s="48">
        <v>1434994049970404.8</v>
      </c>
      <c r="P15" s="48"/>
      <c r="Q15" s="48"/>
      <c r="R15" s="48"/>
    </row>
    <row r="16" spans="1:27" ht="13.8" thickBot="1" x14ac:dyDescent="0.3">
      <c r="A16" s="3">
        <v>38018</v>
      </c>
      <c r="B16" s="44">
        <v>78370409.552495688</v>
      </c>
      <c r="C16" s="59">
        <v>647.70000000000005</v>
      </c>
      <c r="D16" s="59">
        <v>0</v>
      </c>
      <c r="E16" s="62">
        <v>127.79681203173486</v>
      </c>
      <c r="F16" s="61">
        <v>29</v>
      </c>
      <c r="G16" s="61">
        <v>0</v>
      </c>
      <c r="H16" s="45">
        <v>985</v>
      </c>
      <c r="I16" s="61">
        <v>320.16000000000003</v>
      </c>
      <c r="J16" s="10">
        <f t="shared" si="0"/>
        <v>77535136.492426068</v>
      </c>
      <c r="K16" s="10"/>
      <c r="L16" s="14"/>
    </row>
    <row r="17" spans="1:21" x14ac:dyDescent="0.25">
      <c r="A17" s="3">
        <v>38047</v>
      </c>
      <c r="B17" s="44">
        <v>81880891.566265047</v>
      </c>
      <c r="C17" s="59">
        <v>513.6</v>
      </c>
      <c r="D17" s="59">
        <v>0</v>
      </c>
      <c r="E17" s="62">
        <v>128.06005254032812</v>
      </c>
      <c r="F17" s="61">
        <v>31</v>
      </c>
      <c r="G17" s="61">
        <v>1</v>
      </c>
      <c r="H17" s="45">
        <v>987</v>
      </c>
      <c r="I17" s="61">
        <v>368.28</v>
      </c>
      <c r="J17" s="10">
        <f t="shared" si="0"/>
        <v>78707934.816026703</v>
      </c>
      <c r="K17" s="10"/>
      <c r="L17" s="14"/>
      <c r="M17" s="49"/>
      <c r="N17" s="49" t="s">
        <v>43</v>
      </c>
      <c r="O17" s="49" t="s">
        <v>32</v>
      </c>
      <c r="P17" s="49" t="s">
        <v>44</v>
      </c>
      <c r="Q17" s="49" t="s">
        <v>45</v>
      </c>
      <c r="R17" s="49" t="s">
        <v>46</v>
      </c>
      <c r="S17" s="49" t="s">
        <v>47</v>
      </c>
      <c r="T17" s="49" t="s">
        <v>48</v>
      </c>
      <c r="U17" s="49" t="s">
        <v>49</v>
      </c>
    </row>
    <row r="18" spans="1:21" x14ac:dyDescent="0.25">
      <c r="A18" s="3">
        <v>38078</v>
      </c>
      <c r="B18" s="44">
        <v>75220977.070185512</v>
      </c>
      <c r="C18" s="59">
        <v>329.3</v>
      </c>
      <c r="D18" s="59">
        <v>0</v>
      </c>
      <c r="E18" s="62">
        <v>128.32383528126866</v>
      </c>
      <c r="F18" s="61">
        <v>30</v>
      </c>
      <c r="G18" s="61">
        <v>1</v>
      </c>
      <c r="H18" s="45">
        <v>998</v>
      </c>
      <c r="I18" s="61">
        <v>336.24</v>
      </c>
      <c r="J18" s="10">
        <f t="shared" si="0"/>
        <v>76676749.247334167</v>
      </c>
      <c r="K18" s="10"/>
      <c r="L18" s="14"/>
      <c r="M18" s="36" t="s">
        <v>37</v>
      </c>
      <c r="N18" s="56">
        <v>41573985.963250898</v>
      </c>
      <c r="O18" s="36">
        <v>14869898.127989987</v>
      </c>
      <c r="P18" s="54">
        <v>2.7958487412227209</v>
      </c>
      <c r="Q18" s="36">
        <v>6.3550995538602887E-3</v>
      </c>
      <c r="R18" s="36">
        <v>12023188.742433239</v>
      </c>
      <c r="S18" s="36">
        <v>71124783.184068561</v>
      </c>
      <c r="T18" s="36">
        <v>12023188.742433239</v>
      </c>
      <c r="U18" s="36">
        <v>71124783.184068561</v>
      </c>
    </row>
    <row r="19" spans="1:21" x14ac:dyDescent="0.25">
      <c r="A19" s="3">
        <v>38108</v>
      </c>
      <c r="B19" s="44">
        <v>78364682.979537189</v>
      </c>
      <c r="C19" s="59">
        <v>164.1</v>
      </c>
      <c r="D19" s="59">
        <v>14.2</v>
      </c>
      <c r="E19" s="62">
        <v>128.58816137146633</v>
      </c>
      <c r="F19" s="61">
        <v>31</v>
      </c>
      <c r="G19" s="61">
        <v>1</v>
      </c>
      <c r="H19" s="45">
        <v>1003</v>
      </c>
      <c r="I19" s="61">
        <v>319.92</v>
      </c>
      <c r="J19" s="10">
        <f t="shared" si="0"/>
        <v>77385662.103633374</v>
      </c>
      <c r="K19" s="10"/>
      <c r="L19" s="14"/>
      <c r="M19" s="36" t="s">
        <v>3</v>
      </c>
      <c r="N19" s="56">
        <v>4498.635992805619</v>
      </c>
      <c r="O19" s="36">
        <v>1984.568213201152</v>
      </c>
      <c r="P19" s="54">
        <v>2.2668084487502802</v>
      </c>
      <c r="Q19" s="36">
        <v>2.5852796320107996E-2</v>
      </c>
      <c r="R19" s="36">
        <v>554.72377939256148</v>
      </c>
      <c r="S19" s="36">
        <v>8442.5482062186766</v>
      </c>
      <c r="T19" s="36">
        <v>554.72377939256148</v>
      </c>
      <c r="U19" s="36">
        <v>8442.5482062186766</v>
      </c>
    </row>
    <row r="20" spans="1:21" x14ac:dyDescent="0.25">
      <c r="A20" s="3">
        <v>38139</v>
      </c>
      <c r="B20" s="44">
        <v>80644574.650984898</v>
      </c>
      <c r="C20" s="59">
        <v>60.1</v>
      </c>
      <c r="D20" s="59">
        <v>29.2</v>
      </c>
      <c r="E20" s="62">
        <v>128.85303193013166</v>
      </c>
      <c r="F20" s="61">
        <v>30</v>
      </c>
      <c r="G20" s="61">
        <v>0</v>
      </c>
      <c r="H20" s="45">
        <v>1006</v>
      </c>
      <c r="I20" s="61">
        <v>352.08</v>
      </c>
      <c r="J20" s="10">
        <f t="shared" si="0"/>
        <v>78969505.553882807</v>
      </c>
      <c r="K20" s="10"/>
      <c r="L20" s="14"/>
      <c r="M20" s="36" t="s">
        <v>4</v>
      </c>
      <c r="N20" s="56">
        <v>79947.143351801104</v>
      </c>
      <c r="O20" s="36">
        <v>16225.137786505273</v>
      </c>
      <c r="P20" s="54">
        <v>4.9273629847565621</v>
      </c>
      <c r="Q20" s="36">
        <v>3.8822499291214569E-6</v>
      </c>
      <c r="R20" s="36">
        <v>47703.092149706245</v>
      </c>
      <c r="S20" s="36">
        <v>112191.19455389597</v>
      </c>
      <c r="T20" s="36">
        <v>47703.092149706245</v>
      </c>
      <c r="U20" s="36">
        <v>112191.19455389597</v>
      </c>
    </row>
    <row r="21" spans="1:21" x14ac:dyDescent="0.25">
      <c r="A21" s="3">
        <v>38169</v>
      </c>
      <c r="B21" s="44">
        <v>83646349.158538923</v>
      </c>
      <c r="C21" s="59">
        <v>7.7</v>
      </c>
      <c r="D21" s="59">
        <v>71.599999999999994</v>
      </c>
      <c r="E21" s="62">
        <v>129.11844807878055</v>
      </c>
      <c r="F21" s="61">
        <v>31</v>
      </c>
      <c r="G21" s="61">
        <v>0</v>
      </c>
      <c r="H21" s="45">
        <v>1009</v>
      </c>
      <c r="I21" s="61">
        <v>336.28800000000001</v>
      </c>
      <c r="J21" s="10">
        <f t="shared" si="0"/>
        <v>82409720.830539569</v>
      </c>
      <c r="K21" s="10"/>
      <c r="L21" s="14"/>
      <c r="M21" s="36" t="s">
        <v>7</v>
      </c>
      <c r="N21" s="56">
        <v>-112970.68507257158</v>
      </c>
      <c r="O21" s="36">
        <v>61754.691021943232</v>
      </c>
      <c r="P21" s="54">
        <v>-1.8293458068218627</v>
      </c>
      <c r="Q21" s="36">
        <v>7.0734488363211195E-2</v>
      </c>
      <c r="R21" s="36">
        <v>-235695.15407136298</v>
      </c>
      <c r="S21" s="36">
        <v>9753.7839262198249</v>
      </c>
      <c r="T21" s="36">
        <v>-235695.15407136298</v>
      </c>
      <c r="U21" s="36">
        <v>9753.7839262198249</v>
      </c>
    </row>
    <row r="22" spans="1:21" x14ac:dyDescent="0.25">
      <c r="A22" s="3">
        <v>38200</v>
      </c>
      <c r="B22" s="44">
        <v>81801175.043029249</v>
      </c>
      <c r="C22" s="59">
        <v>28.9</v>
      </c>
      <c r="D22" s="59">
        <v>40</v>
      </c>
      <c r="E22" s="62">
        <v>129.38441094123903</v>
      </c>
      <c r="F22" s="61">
        <v>31</v>
      </c>
      <c r="G22" s="61">
        <v>0</v>
      </c>
      <c r="H22" s="45">
        <v>1009</v>
      </c>
      <c r="I22" s="61">
        <v>336.28800000000001</v>
      </c>
      <c r="J22" s="10">
        <f t="shared" si="0"/>
        <v>79948716.176894337</v>
      </c>
      <c r="K22" s="10"/>
      <c r="L22" s="14"/>
      <c r="M22" s="36" t="s">
        <v>5</v>
      </c>
      <c r="N22" s="56">
        <v>633964.47417899594</v>
      </c>
      <c r="O22" s="36">
        <v>373836.46345756989</v>
      </c>
      <c r="P22" s="54">
        <v>1.6958337030998325</v>
      </c>
      <c r="Q22" s="36">
        <v>9.3452687883894048E-2</v>
      </c>
      <c r="R22" s="36">
        <v>-108956.92516723752</v>
      </c>
      <c r="S22" s="36">
        <v>1376885.8735252293</v>
      </c>
      <c r="T22" s="36">
        <v>-108956.92516723752</v>
      </c>
      <c r="U22" s="36">
        <v>1376885.8735252293</v>
      </c>
    </row>
    <row r="23" spans="1:21" x14ac:dyDescent="0.25">
      <c r="A23" s="3">
        <v>38231</v>
      </c>
      <c r="B23" s="44">
        <v>80724583.438515976</v>
      </c>
      <c r="C23" s="59">
        <v>43.9</v>
      </c>
      <c r="D23" s="59">
        <v>31.2</v>
      </c>
      <c r="E23" s="62">
        <v>129.65092164364802</v>
      </c>
      <c r="F23" s="61">
        <v>30</v>
      </c>
      <c r="G23" s="61">
        <v>1</v>
      </c>
      <c r="H23" s="45">
        <v>1023</v>
      </c>
      <c r="I23" s="61">
        <v>336.24</v>
      </c>
      <c r="J23" s="10">
        <f t="shared" si="0"/>
        <v>78278872.516786143</v>
      </c>
      <c r="K23" s="10"/>
      <c r="L23" s="14"/>
      <c r="M23" s="36" t="s">
        <v>26</v>
      </c>
      <c r="N23" s="56">
        <v>-671851.25888293877</v>
      </c>
      <c r="O23" s="36">
        <v>827938.85756069049</v>
      </c>
      <c r="P23" s="54">
        <v>-0.81147448600537508</v>
      </c>
      <c r="Q23" s="36">
        <v>0.41928271396086203</v>
      </c>
      <c r="R23" s="36">
        <v>-2317205.7246918171</v>
      </c>
      <c r="S23" s="36">
        <v>973503.20692593942</v>
      </c>
      <c r="T23" s="36">
        <v>-2317205.7246918171</v>
      </c>
      <c r="U23" s="36">
        <v>973503.20692593942</v>
      </c>
    </row>
    <row r="24" spans="1:21" x14ac:dyDescent="0.25">
      <c r="A24" s="3">
        <v>38261</v>
      </c>
      <c r="B24" s="44">
        <v>77934517.833237723</v>
      </c>
      <c r="C24" s="59">
        <v>253.5</v>
      </c>
      <c r="D24" s="59">
        <v>0</v>
      </c>
      <c r="E24" s="62">
        <v>129.91798131446814</v>
      </c>
      <c r="F24" s="61">
        <v>31</v>
      </c>
      <c r="G24" s="61">
        <v>1</v>
      </c>
      <c r="H24" s="45">
        <v>1027</v>
      </c>
      <c r="I24" s="61">
        <v>319.92</v>
      </c>
      <c r="J24" s="10">
        <f t="shared" si="0"/>
        <v>77022300.821952268</v>
      </c>
      <c r="K24" s="10"/>
      <c r="L24" s="14"/>
      <c r="M24" s="36" t="s">
        <v>66</v>
      </c>
      <c r="N24" s="56">
        <v>21664.198589238855</v>
      </c>
      <c r="O24" s="36">
        <v>7385.1708485838908</v>
      </c>
      <c r="P24" s="54">
        <v>2.9334729058289795</v>
      </c>
      <c r="Q24" s="36">
        <v>4.2731632797801782E-3</v>
      </c>
      <c r="R24" s="36">
        <v>6987.7237197303602</v>
      </c>
      <c r="S24" s="36">
        <v>36340.673458747347</v>
      </c>
      <c r="T24" s="36">
        <v>6987.7237197303602</v>
      </c>
      <c r="U24" s="36">
        <v>36340.673458747347</v>
      </c>
    </row>
    <row r="25" spans="1:21" ht="13.8" thickBot="1" x14ac:dyDescent="0.3">
      <c r="A25" s="3">
        <v>38292</v>
      </c>
      <c r="B25" s="44">
        <v>77253168.818129659</v>
      </c>
      <c r="C25" s="59">
        <v>396</v>
      </c>
      <c r="D25" s="59">
        <v>0</v>
      </c>
      <c r="E25" s="62">
        <v>130.18559108448443</v>
      </c>
      <c r="F25" s="61">
        <v>30</v>
      </c>
      <c r="G25" s="61">
        <v>1</v>
      </c>
      <c r="H25" s="45">
        <v>1047</v>
      </c>
      <c r="I25" s="61">
        <v>352.08</v>
      </c>
      <c r="J25" s="10">
        <f t="shared" si="0"/>
        <v>78211981.560702533</v>
      </c>
      <c r="K25" s="10"/>
      <c r="L25" s="14"/>
      <c r="M25" s="48" t="s">
        <v>6</v>
      </c>
      <c r="N25" s="48">
        <v>24239.355448399394</v>
      </c>
      <c r="O25" s="48">
        <v>17993.48305139277</v>
      </c>
      <c r="P25" s="55">
        <v>1.3471185861662935</v>
      </c>
      <c r="Q25" s="48">
        <v>0.18140075853599957</v>
      </c>
      <c r="R25" s="48">
        <v>-11518.91030239642</v>
      </c>
      <c r="S25" s="48">
        <v>59997.621199195208</v>
      </c>
      <c r="T25" s="48">
        <v>-11518.91030239642</v>
      </c>
      <c r="U25" s="48">
        <v>59997.621199195208</v>
      </c>
    </row>
    <row r="26" spans="1:21" x14ac:dyDescent="0.25">
      <c r="A26" s="3">
        <v>38322</v>
      </c>
      <c r="B26" s="44">
        <v>79935570.147255674</v>
      </c>
      <c r="C26" s="59">
        <v>636.70000000000005</v>
      </c>
      <c r="D26" s="59">
        <v>0</v>
      </c>
      <c r="E26" s="62">
        <v>130.45375208681136</v>
      </c>
      <c r="F26" s="61">
        <v>31</v>
      </c>
      <c r="G26" s="61">
        <v>0</v>
      </c>
      <c r="H26" s="45">
        <v>1051</v>
      </c>
      <c r="I26" s="61">
        <v>336.28800000000001</v>
      </c>
      <c r="J26" s="10">
        <f t="shared" si="0"/>
        <v>80274193.538205981</v>
      </c>
      <c r="K26" s="10"/>
      <c r="L26" s="14"/>
    </row>
    <row r="27" spans="1:21" x14ac:dyDescent="0.25">
      <c r="A27" s="3">
        <v>38353</v>
      </c>
      <c r="B27" s="44">
        <v>78291773.073245361</v>
      </c>
      <c r="C27" s="59">
        <v>765.8</v>
      </c>
      <c r="D27" s="59">
        <v>0</v>
      </c>
      <c r="E27" s="62">
        <v>130.74370215685079</v>
      </c>
      <c r="F27" s="61">
        <v>31</v>
      </c>
      <c r="G27" s="61">
        <v>0</v>
      </c>
      <c r="H27" s="45">
        <v>1056</v>
      </c>
      <c r="I27" s="61">
        <v>319.92</v>
      </c>
      <c r="J27" s="10">
        <f t="shared" si="0"/>
        <v>80533782.809794769</v>
      </c>
      <c r="K27" s="10"/>
      <c r="L27" s="14"/>
    </row>
    <row r="28" spans="1:21" x14ac:dyDescent="0.25">
      <c r="A28" s="3">
        <v>38384</v>
      </c>
      <c r="B28" s="44">
        <v>78814348.50831899</v>
      </c>
      <c r="C28" s="59">
        <v>641.70000000000005</v>
      </c>
      <c r="D28" s="59">
        <v>0</v>
      </c>
      <c r="E28" s="62">
        <v>131.0342966778299</v>
      </c>
      <c r="F28" s="61">
        <v>28</v>
      </c>
      <c r="G28" s="61">
        <v>0</v>
      </c>
      <c r="H28" s="45">
        <v>1060</v>
      </c>
      <c r="I28" s="61">
        <v>319.87200000000001</v>
      </c>
      <c r="J28" s="10">
        <f t="shared" si="0"/>
        <v>78126273.303732708</v>
      </c>
      <c r="K28" s="10"/>
      <c r="L28" s="14"/>
    </row>
    <row r="29" spans="1:21" x14ac:dyDescent="0.25">
      <c r="A29" s="3">
        <v>38412</v>
      </c>
      <c r="B29" s="44">
        <v>83108466.265060246</v>
      </c>
      <c r="C29" s="59">
        <v>646.9</v>
      </c>
      <c r="D29" s="59">
        <v>0</v>
      </c>
      <c r="E29" s="62">
        <v>131.32553708212293</v>
      </c>
      <c r="F29" s="61">
        <v>31</v>
      </c>
      <c r="G29" s="61">
        <v>1</v>
      </c>
      <c r="H29" s="45">
        <v>1061</v>
      </c>
      <c r="I29" s="61">
        <v>351.91199999999998</v>
      </c>
      <c r="J29" s="10">
        <f t="shared" si="0"/>
        <v>80145099.893711522</v>
      </c>
      <c r="K29" s="10"/>
      <c r="L29" s="14"/>
    </row>
    <row r="30" spans="1:21" x14ac:dyDescent="0.25">
      <c r="A30" s="3">
        <v>38443</v>
      </c>
      <c r="B30" s="44">
        <v>77162206.932491854</v>
      </c>
      <c r="C30" s="59">
        <v>339</v>
      </c>
      <c r="D30" s="59">
        <v>0</v>
      </c>
      <c r="E30" s="62">
        <v>131.61742480528775</v>
      </c>
      <c r="F30" s="61">
        <v>30</v>
      </c>
      <c r="G30" s="61">
        <v>1</v>
      </c>
      <c r="H30" s="45">
        <v>1067</v>
      </c>
      <c r="I30" s="61">
        <v>336.24</v>
      </c>
      <c r="J30" s="10">
        <f t="shared" si="0"/>
        <v>77843136.65424557</v>
      </c>
      <c r="K30" s="10"/>
      <c r="L30" s="14"/>
    </row>
    <row r="31" spans="1:21" x14ac:dyDescent="0.25">
      <c r="A31" s="3">
        <v>38473</v>
      </c>
      <c r="B31" s="44">
        <v>78475945.620577529</v>
      </c>
      <c r="C31" s="59">
        <v>212.7</v>
      </c>
      <c r="D31" s="59">
        <v>0</v>
      </c>
      <c r="E31" s="62">
        <v>131.90996128607298</v>
      </c>
      <c r="F31" s="61">
        <v>31</v>
      </c>
      <c r="G31" s="61">
        <v>1</v>
      </c>
      <c r="H31" s="45">
        <v>1066</v>
      </c>
      <c r="I31" s="61">
        <v>336.28800000000001</v>
      </c>
      <c r="J31" s="10">
        <f t="shared" si="0"/>
        <v>77855374.646362484</v>
      </c>
      <c r="K31" s="10"/>
      <c r="L31" s="14"/>
    </row>
    <row r="32" spans="1:21" x14ac:dyDescent="0.25">
      <c r="A32" s="3">
        <v>38504</v>
      </c>
      <c r="B32" s="44">
        <v>88393244.482692674</v>
      </c>
      <c r="C32" s="59">
        <v>13.1</v>
      </c>
      <c r="D32" s="59">
        <v>119.6</v>
      </c>
      <c r="E32" s="62">
        <v>132.20314796642501</v>
      </c>
      <c r="F32" s="61">
        <v>30</v>
      </c>
      <c r="G32" s="61">
        <v>0</v>
      </c>
      <c r="H32" s="45">
        <v>1063</v>
      </c>
      <c r="I32" s="61">
        <v>352.08</v>
      </c>
      <c r="J32" s="10">
        <f t="shared" si="0"/>
        <v>86841685.837117717</v>
      </c>
      <c r="K32" s="10"/>
      <c r="L32" s="14"/>
    </row>
    <row r="33" spans="1:12" x14ac:dyDescent="0.25">
      <c r="A33" s="3">
        <v>38534</v>
      </c>
      <c r="B33" s="44">
        <v>87417721.113023505</v>
      </c>
      <c r="C33" s="59">
        <v>1.1000000000000001</v>
      </c>
      <c r="D33" s="59">
        <v>144.69999999999999</v>
      </c>
      <c r="E33" s="62">
        <v>132.49698629149512</v>
      </c>
      <c r="F33" s="61">
        <v>31</v>
      </c>
      <c r="G33" s="61">
        <v>0</v>
      </c>
      <c r="H33" s="45">
        <v>1067</v>
      </c>
      <c r="I33" s="61">
        <v>319.92</v>
      </c>
      <c r="J33" s="10">
        <f t="shared" si="0"/>
        <v>88702263.98376593</v>
      </c>
      <c r="K33" s="10"/>
      <c r="L33" s="14"/>
    </row>
    <row r="34" spans="1:12" x14ac:dyDescent="0.25">
      <c r="A34" s="3">
        <v>38565</v>
      </c>
      <c r="B34" s="44">
        <v>87825517.555938035</v>
      </c>
      <c r="C34" s="59">
        <v>3.8</v>
      </c>
      <c r="D34" s="59">
        <v>102.5</v>
      </c>
      <c r="E34" s="62">
        <v>132.79147770964664</v>
      </c>
      <c r="F34" s="61">
        <v>31</v>
      </c>
      <c r="G34" s="61">
        <v>0</v>
      </c>
      <c r="H34" s="45">
        <v>1069</v>
      </c>
      <c r="I34" s="61">
        <v>351.91199999999998</v>
      </c>
      <c r="J34" s="10">
        <f t="shared" si="0"/>
        <v>86126165.810927615</v>
      </c>
      <c r="K34" s="10"/>
      <c r="L34" s="14"/>
    </row>
    <row r="35" spans="1:12" x14ac:dyDescent="0.25">
      <c r="A35" s="3">
        <v>38596</v>
      </c>
      <c r="B35" s="44">
        <v>73412804.953145921</v>
      </c>
      <c r="C35" s="59">
        <v>32.799999999999997</v>
      </c>
      <c r="D35" s="59">
        <v>25.6</v>
      </c>
      <c r="E35" s="62">
        <v>133.08662367246211</v>
      </c>
      <c r="F35" s="61">
        <v>30</v>
      </c>
      <c r="G35" s="61">
        <v>1</v>
      </c>
      <c r="H35" s="45">
        <v>1071</v>
      </c>
      <c r="I35" s="61">
        <v>336.24</v>
      </c>
      <c r="J35" s="10">
        <f t="shared" si="0"/>
        <v>78432981.574879035</v>
      </c>
      <c r="K35" s="10"/>
      <c r="L35" s="14"/>
    </row>
    <row r="36" spans="1:12" x14ac:dyDescent="0.25">
      <c r="A36" s="3">
        <v>38626</v>
      </c>
      <c r="B36" s="44">
        <v>88514382.147638157</v>
      </c>
      <c r="C36" s="59">
        <v>234.2</v>
      </c>
      <c r="D36" s="59">
        <v>7.6</v>
      </c>
      <c r="E36" s="62">
        <v>133.38242563475035</v>
      </c>
      <c r="F36" s="61">
        <v>31</v>
      </c>
      <c r="G36" s="61">
        <v>1</v>
      </c>
      <c r="H36" s="45">
        <v>1075</v>
      </c>
      <c r="I36" s="61">
        <v>319.92</v>
      </c>
      <c r="J36" s="10">
        <f t="shared" si="0"/>
        <v>78191576.320790216</v>
      </c>
      <c r="K36" s="10"/>
      <c r="L36" s="14"/>
    </row>
    <row r="37" spans="1:12" x14ac:dyDescent="0.25">
      <c r="A37" s="3">
        <v>38657</v>
      </c>
      <c r="B37" s="44">
        <v>78182214.486517489</v>
      </c>
      <c r="C37" s="59">
        <v>396.3</v>
      </c>
      <c r="D37" s="59">
        <v>0</v>
      </c>
      <c r="E37" s="62">
        <v>133.67888505455369</v>
      </c>
      <c r="F37" s="61">
        <v>30</v>
      </c>
      <c r="G37" s="61">
        <v>1</v>
      </c>
      <c r="H37" s="45">
        <v>1074</v>
      </c>
      <c r="I37" s="61">
        <v>352.08</v>
      </c>
      <c r="J37" s="10">
        <f t="shared" si="0"/>
        <v>78403624.700451195</v>
      </c>
      <c r="K37" s="10"/>
      <c r="L37" s="14"/>
    </row>
    <row r="38" spans="1:12" x14ac:dyDescent="0.25">
      <c r="A38" s="3">
        <v>38687</v>
      </c>
      <c r="B38" s="44">
        <v>81481154.800153002</v>
      </c>
      <c r="C38" s="59">
        <v>688.8</v>
      </c>
      <c r="D38" s="59">
        <v>0</v>
      </c>
      <c r="E38" s="62">
        <v>133.97600339315525</v>
      </c>
      <c r="F38" s="61">
        <v>31</v>
      </c>
      <c r="G38" s="61">
        <v>0</v>
      </c>
      <c r="H38" s="45">
        <v>1079</v>
      </c>
      <c r="I38" s="61">
        <v>319.92</v>
      </c>
      <c r="J38" s="10">
        <f t="shared" si="0"/>
        <v>80320509.120875016</v>
      </c>
      <c r="K38" s="10"/>
      <c r="L38" s="14"/>
    </row>
    <row r="39" spans="1:12" x14ac:dyDescent="0.25">
      <c r="A39" s="3">
        <v>38718</v>
      </c>
      <c r="B39" s="38">
        <v>83468522.183973983</v>
      </c>
      <c r="C39" s="59">
        <v>554.70000000000005</v>
      </c>
      <c r="D39" s="59">
        <v>0</v>
      </c>
      <c r="E39" s="62">
        <v>134.25197202423305</v>
      </c>
      <c r="F39" s="61">
        <v>31</v>
      </c>
      <c r="G39" s="61">
        <v>0</v>
      </c>
      <c r="H39" s="45">
        <v>1088</v>
      </c>
      <c r="I39" s="61">
        <v>336.28800000000001</v>
      </c>
      <c r="J39" s="10">
        <f t="shared" si="0"/>
        <v>80277793.226210937</v>
      </c>
      <c r="K39" s="10"/>
      <c r="L39" s="14"/>
    </row>
    <row r="40" spans="1:12" x14ac:dyDescent="0.25">
      <c r="A40" s="3">
        <v>38749</v>
      </c>
      <c r="B40" s="38">
        <v>77626470.587110341</v>
      </c>
      <c r="C40" s="59">
        <v>602.79999999999995</v>
      </c>
      <c r="D40" s="59">
        <v>0</v>
      </c>
      <c r="E40" s="62">
        <v>134.52850910550649</v>
      </c>
      <c r="F40" s="61">
        <v>28</v>
      </c>
      <c r="G40" s="61">
        <v>0</v>
      </c>
      <c r="H40" s="45">
        <v>1094</v>
      </c>
      <c r="I40" s="61">
        <v>319.87200000000001</v>
      </c>
      <c r="J40" s="10">
        <f t="shared" si="0"/>
        <v>78293115.543902978</v>
      </c>
      <c r="K40" s="10"/>
      <c r="L40" s="14"/>
    </row>
    <row r="41" spans="1:12" x14ac:dyDescent="0.25">
      <c r="A41" s="3">
        <v>38777</v>
      </c>
      <c r="B41" s="38">
        <v>80628498.642187804</v>
      </c>
      <c r="C41" s="59">
        <v>530.4</v>
      </c>
      <c r="D41" s="59">
        <v>0</v>
      </c>
      <c r="E41" s="62">
        <v>134.80561580788986</v>
      </c>
      <c r="F41" s="61">
        <v>31</v>
      </c>
      <c r="G41" s="61">
        <v>1</v>
      </c>
      <c r="H41" s="45">
        <v>1097</v>
      </c>
      <c r="I41" s="61">
        <v>368.28</v>
      </c>
      <c r="J41" s="10">
        <f t="shared" si="0"/>
        <v>80404522.841985285</v>
      </c>
      <c r="K41" s="10"/>
      <c r="L41" s="14"/>
    </row>
    <row r="42" spans="1:12" x14ac:dyDescent="0.25">
      <c r="A42" s="3">
        <v>38808</v>
      </c>
      <c r="B42" s="38">
        <v>74263532.013769358</v>
      </c>
      <c r="C42" s="59">
        <v>314.60000000000002</v>
      </c>
      <c r="D42" s="59">
        <v>0</v>
      </c>
      <c r="E42" s="62">
        <v>135.08329330470943</v>
      </c>
      <c r="F42" s="61">
        <v>30</v>
      </c>
      <c r="G42" s="61">
        <v>1</v>
      </c>
      <c r="H42" s="45">
        <v>1094</v>
      </c>
      <c r="I42" s="61">
        <v>303.83999999999997</v>
      </c>
      <c r="J42" s="10">
        <f t="shared" si="0"/>
        <v>77141406.64265132</v>
      </c>
      <c r="K42" s="10"/>
      <c r="L42" s="14"/>
    </row>
    <row r="43" spans="1:12" x14ac:dyDescent="0.25">
      <c r="A43" s="3">
        <v>38838</v>
      </c>
      <c r="B43" s="38">
        <v>79077511.717326686</v>
      </c>
      <c r="C43" s="59">
        <v>155.5</v>
      </c>
      <c r="D43" s="59">
        <v>22.4</v>
      </c>
      <c r="E43" s="62">
        <v>135.36154277170829</v>
      </c>
      <c r="F43" s="61">
        <v>31</v>
      </c>
      <c r="G43" s="61">
        <v>1</v>
      </c>
      <c r="H43" s="45">
        <v>1096</v>
      </c>
      <c r="I43" s="61">
        <v>351.91199999999998</v>
      </c>
      <c r="J43" s="10">
        <f t="shared" si="0"/>
        <v>80027582.800841287</v>
      </c>
      <c r="K43" s="10"/>
      <c r="L43" s="14"/>
    </row>
    <row r="44" spans="1:12" x14ac:dyDescent="0.25">
      <c r="A44" s="3">
        <v>38869</v>
      </c>
      <c r="B44" s="38">
        <v>83209893.441365436</v>
      </c>
      <c r="C44" s="59">
        <v>26.7</v>
      </c>
      <c r="D44" s="59">
        <v>43.2</v>
      </c>
      <c r="E44" s="62">
        <v>135.64036538705133</v>
      </c>
      <c r="F44" s="61">
        <v>30</v>
      </c>
      <c r="G44" s="61">
        <v>0</v>
      </c>
      <c r="H44" s="45">
        <v>1101</v>
      </c>
      <c r="I44" s="61">
        <v>352.08</v>
      </c>
      <c r="J44" s="10">
        <f t="shared" si="0"/>
        <v>81229840.274181813</v>
      </c>
      <c r="K44" s="10"/>
      <c r="L44" s="14"/>
    </row>
    <row r="45" spans="1:12" x14ac:dyDescent="0.25">
      <c r="A45" s="3">
        <v>38899</v>
      </c>
      <c r="B45" s="38">
        <v>88040404.276536584</v>
      </c>
      <c r="C45" s="59">
        <v>1.9</v>
      </c>
      <c r="D45" s="59">
        <v>136.1</v>
      </c>
      <c r="E45" s="62">
        <v>135.9197623313303</v>
      </c>
      <c r="F45" s="61">
        <v>31</v>
      </c>
      <c r="G45" s="61">
        <v>0</v>
      </c>
      <c r="H45" s="45">
        <v>1103</v>
      </c>
      <c r="I45" s="61">
        <v>319.92</v>
      </c>
      <c r="J45" s="10">
        <f t="shared" si="0"/>
        <v>88411555.25487712</v>
      </c>
      <c r="K45" s="10"/>
      <c r="L45" s="14"/>
    </row>
    <row r="46" spans="1:12" x14ac:dyDescent="0.25">
      <c r="A46" s="3">
        <v>38930</v>
      </c>
      <c r="B46" s="38">
        <v>85613533.493144125</v>
      </c>
      <c r="C46" s="59">
        <v>8.1</v>
      </c>
      <c r="D46" s="59">
        <v>70.099999999999994</v>
      </c>
      <c r="E46" s="62">
        <v>136.19973478756879</v>
      </c>
      <c r="F46" s="61">
        <v>31</v>
      </c>
      <c r="G46" s="61">
        <v>0</v>
      </c>
      <c r="H46" s="45">
        <v>1102</v>
      </c>
      <c r="I46" s="61">
        <v>351.91199999999998</v>
      </c>
      <c r="J46" s="10">
        <f t="shared" si="0"/>
        <v>83885107.917546898</v>
      </c>
      <c r="K46" s="10"/>
      <c r="L46" s="14"/>
    </row>
    <row r="47" spans="1:12" x14ac:dyDescent="0.25">
      <c r="A47" s="3">
        <v>38961</v>
      </c>
      <c r="B47" s="38">
        <v>76887798.398695946</v>
      </c>
      <c r="C47" s="59">
        <v>105.3</v>
      </c>
      <c r="D47" s="59">
        <v>4.0999999999999996</v>
      </c>
      <c r="E47" s="62">
        <v>136.48028394122719</v>
      </c>
      <c r="F47" s="61">
        <v>30</v>
      </c>
      <c r="G47" s="61">
        <v>1</v>
      </c>
      <c r="H47" s="45">
        <v>1104</v>
      </c>
      <c r="I47" s="61">
        <v>319.68</v>
      </c>
      <c r="J47" s="10">
        <f t="shared" si="0"/>
        <v>76970399.804047137</v>
      </c>
      <c r="K47" s="10"/>
      <c r="L47" s="14"/>
    </row>
    <row r="48" spans="1:12" x14ac:dyDescent="0.25">
      <c r="A48" s="3">
        <v>38991</v>
      </c>
      <c r="B48" s="38">
        <v>77734572.394285172</v>
      </c>
      <c r="C48" s="59">
        <v>304.10000000000002</v>
      </c>
      <c r="D48" s="59">
        <v>0</v>
      </c>
      <c r="E48" s="62">
        <v>136.76141098020776</v>
      </c>
      <c r="F48" s="61">
        <v>31</v>
      </c>
      <c r="G48" s="61">
        <v>1</v>
      </c>
      <c r="H48" s="45">
        <v>1111</v>
      </c>
      <c r="I48" s="61">
        <v>336.28800000000001</v>
      </c>
      <c r="J48" s="10">
        <f t="shared" si="0"/>
        <v>78693367.317079142</v>
      </c>
      <c r="K48" s="10"/>
      <c r="L48" s="14"/>
    </row>
    <row r="49" spans="1:12" x14ac:dyDescent="0.25">
      <c r="A49" s="3">
        <v>39022</v>
      </c>
      <c r="B49" s="38">
        <v>72261566.957522303</v>
      </c>
      <c r="C49" s="59">
        <v>393.1</v>
      </c>
      <c r="D49" s="59">
        <v>0</v>
      </c>
      <c r="E49" s="62">
        <v>137.04311709485967</v>
      </c>
      <c r="F49" s="61">
        <v>30</v>
      </c>
      <c r="G49" s="61">
        <v>1</v>
      </c>
      <c r="H49" s="45">
        <v>961</v>
      </c>
      <c r="I49" s="61">
        <v>352.08</v>
      </c>
      <c r="J49" s="10">
        <f t="shared" si="0"/>
        <v>75561115.026353776</v>
      </c>
      <c r="K49" s="10"/>
      <c r="L49" s="14"/>
    </row>
    <row r="50" spans="1:12" x14ac:dyDescent="0.25">
      <c r="A50" s="3">
        <v>39052</v>
      </c>
      <c r="B50" s="38">
        <v>75158394.678300902</v>
      </c>
      <c r="C50" s="59">
        <v>508.1</v>
      </c>
      <c r="D50" s="59">
        <v>0</v>
      </c>
      <c r="E50" s="62">
        <v>137.32540347798411</v>
      </c>
      <c r="F50" s="61">
        <v>31</v>
      </c>
      <c r="G50" s="61">
        <v>0</v>
      </c>
      <c r="H50" s="45">
        <v>974</v>
      </c>
      <c r="I50" s="61">
        <v>304.29599999999999</v>
      </c>
      <c r="J50" s="10">
        <f t="shared" si="0"/>
        <v>76475765.033413932</v>
      </c>
      <c r="K50" s="10"/>
      <c r="L50" s="14"/>
    </row>
    <row r="51" spans="1:12" x14ac:dyDescent="0.25">
      <c r="A51" s="3">
        <v>39083</v>
      </c>
      <c r="B51" s="38">
        <v>81970978.540607914</v>
      </c>
      <c r="C51" s="59">
        <v>665.6</v>
      </c>
      <c r="D51" s="59">
        <v>0</v>
      </c>
      <c r="E51" s="62">
        <v>137.58587596073079</v>
      </c>
      <c r="F51" s="61">
        <v>31</v>
      </c>
      <c r="G51" s="61">
        <v>0</v>
      </c>
      <c r="H51" s="45">
        <v>980</v>
      </c>
      <c r="I51" s="61">
        <v>351.91199999999998</v>
      </c>
      <c r="J51" s="10">
        <f t="shared" si="0"/>
        <v>78439040.788028792</v>
      </c>
      <c r="K51" s="10"/>
      <c r="L51" s="14"/>
    </row>
    <row r="52" spans="1:12" x14ac:dyDescent="0.25">
      <c r="A52" s="3">
        <v>39114</v>
      </c>
      <c r="B52" s="38">
        <v>78614761.16597949</v>
      </c>
      <c r="C52" s="59">
        <v>761.8</v>
      </c>
      <c r="D52" s="59">
        <v>0</v>
      </c>
      <c r="E52" s="62">
        <v>137.84684249565245</v>
      </c>
      <c r="F52" s="61">
        <v>28</v>
      </c>
      <c r="G52" s="61">
        <v>0</v>
      </c>
      <c r="H52" s="45">
        <v>981</v>
      </c>
      <c r="I52" s="61">
        <v>319.87200000000001</v>
      </c>
      <c r="J52" s="10">
        <f t="shared" si="0"/>
        <v>76185469.829791099</v>
      </c>
      <c r="K52" s="10"/>
      <c r="L52" s="14"/>
    </row>
    <row r="53" spans="1:12" x14ac:dyDescent="0.25">
      <c r="A53" s="3">
        <v>39142</v>
      </c>
      <c r="B53" s="38">
        <v>81615210.211909115</v>
      </c>
      <c r="C53" s="59">
        <v>565.20000000000005</v>
      </c>
      <c r="D53" s="59">
        <v>0</v>
      </c>
      <c r="E53" s="62">
        <v>138.10830401984444</v>
      </c>
      <c r="F53" s="61">
        <v>31</v>
      </c>
      <c r="G53" s="61">
        <v>1</v>
      </c>
      <c r="H53" s="45">
        <v>982</v>
      </c>
      <c r="I53" s="61">
        <v>351.91199999999998</v>
      </c>
      <c r="J53" s="10">
        <f t="shared" si="0"/>
        <v>77299835.816907436</v>
      </c>
      <c r="K53" s="10"/>
      <c r="L53" s="14"/>
    </row>
    <row r="54" spans="1:12" x14ac:dyDescent="0.25">
      <c r="A54" s="3">
        <v>39173</v>
      </c>
      <c r="B54" s="38">
        <v>76941902.694409832</v>
      </c>
      <c r="C54" s="59">
        <v>374.2</v>
      </c>
      <c r="D54" s="59">
        <v>0</v>
      </c>
      <c r="E54" s="62">
        <v>138.37026147217955</v>
      </c>
      <c r="F54" s="61">
        <v>30</v>
      </c>
      <c r="G54" s="61">
        <v>1</v>
      </c>
      <c r="H54" s="45">
        <v>985</v>
      </c>
      <c r="I54" s="61">
        <v>319.68</v>
      </c>
      <c r="J54" s="10">
        <f t="shared" si="0"/>
        <v>75060748.046207309</v>
      </c>
      <c r="K54" s="10"/>
      <c r="L54" s="14"/>
    </row>
    <row r="55" spans="1:12" x14ac:dyDescent="0.25">
      <c r="A55" s="3">
        <v>39203</v>
      </c>
      <c r="B55" s="38">
        <v>78855847.84734875</v>
      </c>
      <c r="C55" s="59">
        <v>138.4</v>
      </c>
      <c r="D55" s="59">
        <v>23.3</v>
      </c>
      <c r="E55" s="62">
        <v>138.63271579331135</v>
      </c>
      <c r="F55" s="61">
        <v>31</v>
      </c>
      <c r="G55" s="61">
        <v>1</v>
      </c>
      <c r="H55" s="45">
        <v>986</v>
      </c>
      <c r="I55" s="61">
        <v>351.91199999999998</v>
      </c>
      <c r="J55" s="10">
        <f t="shared" si="0"/>
        <v>77270000.052323237</v>
      </c>
      <c r="K55" s="10"/>
      <c r="L55" s="14"/>
    </row>
    <row r="56" spans="1:12" x14ac:dyDescent="0.25">
      <c r="A56" s="3">
        <v>39234</v>
      </c>
      <c r="B56" s="38">
        <v>85177647.655575797</v>
      </c>
      <c r="C56" s="59">
        <v>19.2</v>
      </c>
      <c r="D56" s="59">
        <v>74.2</v>
      </c>
      <c r="E56" s="62">
        <v>138.89566792567766</v>
      </c>
      <c r="F56" s="61">
        <v>30</v>
      </c>
      <c r="G56" s="61">
        <v>0</v>
      </c>
      <c r="H56" s="45">
        <v>992</v>
      </c>
      <c r="I56" s="61">
        <v>336.24</v>
      </c>
      <c r="J56" s="10">
        <f t="shared" si="0"/>
        <v>80561359.153704837</v>
      </c>
      <c r="K56" s="10"/>
      <c r="L56" s="14"/>
    </row>
    <row r="57" spans="1:12" x14ac:dyDescent="0.25">
      <c r="A57" s="3">
        <v>39264</v>
      </c>
      <c r="B57" s="38">
        <v>83848447.924057931</v>
      </c>
      <c r="C57" s="59">
        <v>9.1999999999999993</v>
      </c>
      <c r="D57" s="59">
        <v>82</v>
      </c>
      <c r="E57" s="62">
        <v>139.1591188135038</v>
      </c>
      <c r="F57" s="61">
        <v>31</v>
      </c>
      <c r="G57" s="61">
        <v>0</v>
      </c>
      <c r="H57" s="45">
        <v>995</v>
      </c>
      <c r="I57" s="61">
        <v>336.28800000000001</v>
      </c>
      <c r="J57" s="10">
        <f t="shared" si="0"/>
        <v>81810318.843648359</v>
      </c>
      <c r="K57" s="10"/>
      <c r="L57" s="14"/>
    </row>
    <row r="58" spans="1:12" x14ac:dyDescent="0.25">
      <c r="A58" s="3">
        <v>39295</v>
      </c>
      <c r="B58" s="38">
        <v>87075178.099530175</v>
      </c>
      <c r="C58" s="59">
        <v>8.4</v>
      </c>
      <c r="D58" s="59">
        <v>106</v>
      </c>
      <c r="E58" s="62">
        <v>139.42306940280611</v>
      </c>
      <c r="F58" s="61">
        <v>31</v>
      </c>
      <c r="G58" s="61">
        <v>0</v>
      </c>
      <c r="H58" s="45">
        <v>996</v>
      </c>
      <c r="I58" s="61">
        <v>351.91199999999998</v>
      </c>
      <c r="J58" s="10">
        <f t="shared" si="0"/>
        <v>84096012.58451359</v>
      </c>
      <c r="K58" s="10"/>
      <c r="L58" s="14"/>
    </row>
    <row r="59" spans="1:12" x14ac:dyDescent="0.25">
      <c r="A59" s="3">
        <v>39326</v>
      </c>
      <c r="B59" s="38">
        <v>79161236.810816005</v>
      </c>
      <c r="C59" s="59">
        <v>55.2</v>
      </c>
      <c r="D59" s="59">
        <v>37.200000000000003</v>
      </c>
      <c r="E59" s="62">
        <v>139.68752064139528</v>
      </c>
      <c r="F59" s="61">
        <v>30</v>
      </c>
      <c r="G59" s="61">
        <v>1</v>
      </c>
      <c r="H59" s="45">
        <v>997</v>
      </c>
      <c r="I59" s="61">
        <v>303.83999999999997</v>
      </c>
      <c r="J59" s="10">
        <f t="shared" si="0"/>
        <v>76326924.219193101</v>
      </c>
      <c r="K59" s="10"/>
      <c r="L59" s="14"/>
    </row>
    <row r="60" spans="1:12" x14ac:dyDescent="0.25">
      <c r="A60" s="3">
        <v>39356</v>
      </c>
      <c r="B60" s="38">
        <v>79313297.535717711</v>
      </c>
      <c r="C60" s="59">
        <v>157.80000000000001</v>
      </c>
      <c r="D60" s="59">
        <v>13</v>
      </c>
      <c r="E60" s="62">
        <v>139.95247347887977</v>
      </c>
      <c r="F60" s="61">
        <v>31</v>
      </c>
      <c r="G60" s="61">
        <v>1</v>
      </c>
      <c r="H60" s="45">
        <v>996</v>
      </c>
      <c r="I60" s="61">
        <v>351.91199999999998</v>
      </c>
      <c r="J60" s="10">
        <f t="shared" si="0"/>
        <v>76601366.07008405</v>
      </c>
      <c r="K60" s="10"/>
      <c r="L60" s="14"/>
    </row>
    <row r="61" spans="1:12" x14ac:dyDescent="0.25">
      <c r="A61" s="3">
        <v>39387</v>
      </c>
      <c r="B61" s="38">
        <v>71740385.943043441</v>
      </c>
      <c r="C61" s="59">
        <v>467.5</v>
      </c>
      <c r="D61" s="59">
        <v>0</v>
      </c>
      <c r="E61" s="62">
        <v>140.21792886666915</v>
      </c>
      <c r="F61" s="61">
        <v>30</v>
      </c>
      <c r="G61" s="61">
        <v>1</v>
      </c>
      <c r="H61" s="45">
        <v>1006</v>
      </c>
      <c r="I61" s="61">
        <v>352.08</v>
      </c>
      <c r="J61" s="10">
        <f t="shared" si="0"/>
        <v>76512041.819896489</v>
      </c>
      <c r="K61" s="10"/>
      <c r="L61" s="14"/>
    </row>
    <row r="62" spans="1:12" x14ac:dyDescent="0.25">
      <c r="A62" s="3">
        <v>39417</v>
      </c>
      <c r="B62" s="38">
        <v>77329975.280467927</v>
      </c>
      <c r="C62" s="59">
        <v>641</v>
      </c>
      <c r="D62" s="59">
        <v>0</v>
      </c>
      <c r="E62" s="62">
        <v>140.48388775797773</v>
      </c>
      <c r="F62" s="61">
        <v>31</v>
      </c>
      <c r="G62" s="61">
        <v>0</v>
      </c>
      <c r="H62" s="45">
        <v>1007</v>
      </c>
      <c r="I62" s="61">
        <v>304.29599999999999</v>
      </c>
      <c r="J62" s="10">
        <f t="shared" si="0"/>
        <v>77431736.177400857</v>
      </c>
      <c r="K62" s="10"/>
      <c r="L62" s="14"/>
    </row>
    <row r="63" spans="1:12" x14ac:dyDescent="0.25">
      <c r="A63" s="3">
        <v>39448</v>
      </c>
      <c r="B63" s="45">
        <v>81241462.028957725</v>
      </c>
      <c r="C63" s="59">
        <v>632.70000000000005</v>
      </c>
      <c r="D63" s="59">
        <v>0</v>
      </c>
      <c r="E63" s="62">
        <v>140.42521823206457</v>
      </c>
      <c r="F63" s="61">
        <v>31</v>
      </c>
      <c r="G63" s="61">
        <v>0</v>
      </c>
      <c r="H63" s="45">
        <v>1012</v>
      </c>
      <c r="I63" s="61">
        <v>352</v>
      </c>
      <c r="J63" s="10">
        <f t="shared" si="0"/>
        <v>78665660.640452504</v>
      </c>
    </row>
    <row r="64" spans="1:12" x14ac:dyDescent="0.25">
      <c r="A64" s="3">
        <v>39479</v>
      </c>
      <c r="B64" s="45">
        <v>77799441.336657405</v>
      </c>
      <c r="C64" s="59">
        <v>678.8</v>
      </c>
      <c r="D64" s="59">
        <v>0</v>
      </c>
      <c r="E64" s="62">
        <v>140.36657320798807</v>
      </c>
      <c r="F64" s="61">
        <v>29</v>
      </c>
      <c r="G64" s="61">
        <v>0</v>
      </c>
      <c r="H64" s="45">
        <v>1011</v>
      </c>
      <c r="I64" s="61">
        <v>320</v>
      </c>
      <c r="J64" s="10">
        <f t="shared" si="0"/>
        <v>76814420.406970829</v>
      </c>
    </row>
    <row r="65" spans="1:33" x14ac:dyDescent="0.25">
      <c r="A65" s="3">
        <v>39508</v>
      </c>
      <c r="B65" s="45">
        <v>78670887.32380861</v>
      </c>
      <c r="C65" s="59">
        <v>621.79999999999995</v>
      </c>
      <c r="D65" s="59">
        <v>0</v>
      </c>
      <c r="E65" s="62">
        <v>140.30795267551565</v>
      </c>
      <c r="F65" s="61">
        <v>31</v>
      </c>
      <c r="G65" s="61">
        <v>1</v>
      </c>
      <c r="H65" s="45">
        <v>1012</v>
      </c>
      <c r="I65" s="61">
        <v>304</v>
      </c>
      <c r="J65" s="10">
        <f t="shared" si="0"/>
        <v>76794532.75798355</v>
      </c>
    </row>
    <row r="66" spans="1:33" x14ac:dyDescent="0.25">
      <c r="A66" s="3">
        <v>39539</v>
      </c>
      <c r="B66" s="45">
        <v>74410559.631795958</v>
      </c>
      <c r="C66" s="59">
        <v>290.60000000000002</v>
      </c>
      <c r="D66" s="59">
        <v>0</v>
      </c>
      <c r="E66" s="62">
        <v>140.24935662441902</v>
      </c>
      <c r="F66" s="61">
        <v>30</v>
      </c>
      <c r="G66" s="61">
        <v>1</v>
      </c>
      <c r="H66" s="45">
        <v>1013</v>
      </c>
      <c r="I66" s="61">
        <v>352</v>
      </c>
      <c r="J66" s="10">
        <f t="shared" si="0"/>
        <v>75862392.939134687</v>
      </c>
    </row>
    <row r="67" spans="1:33" x14ac:dyDescent="0.25">
      <c r="A67" s="3">
        <v>39569</v>
      </c>
      <c r="B67" s="45">
        <v>74549248.1445968</v>
      </c>
      <c r="C67" s="59">
        <v>214.1</v>
      </c>
      <c r="D67" s="59">
        <v>0.3</v>
      </c>
      <c r="E67" s="62">
        <v>140.19078504447415</v>
      </c>
      <c r="F67" s="61">
        <v>31</v>
      </c>
      <c r="G67" s="61">
        <v>1</v>
      </c>
      <c r="H67" s="45">
        <v>1013</v>
      </c>
      <c r="I67" s="61">
        <v>336</v>
      </c>
      <c r="J67" s="10">
        <f t="shared" ref="J67:J122" si="1">$N$18+C67*$N$19+D67*$N$20+E67*$N$21+F67*$N$22+G67*$N$23+H67*$N$24+I67*$N$25</f>
        <v>75794983.087207347</v>
      </c>
    </row>
    <row r="68" spans="1:33" x14ac:dyDescent="0.25">
      <c r="A68" s="3">
        <v>39600</v>
      </c>
      <c r="B68" s="45">
        <v>79221333.579441935</v>
      </c>
      <c r="C68" s="59">
        <v>34.200000000000003</v>
      </c>
      <c r="D68" s="59">
        <v>55</v>
      </c>
      <c r="E68" s="62">
        <v>140.13223792546131</v>
      </c>
      <c r="F68" s="61">
        <v>30</v>
      </c>
      <c r="G68" s="61">
        <v>0</v>
      </c>
      <c r="H68" s="45">
        <v>1012</v>
      </c>
      <c r="I68" s="61">
        <v>336</v>
      </c>
      <c r="J68" s="10">
        <f t="shared" si="1"/>
        <v>79381623.907703757</v>
      </c>
    </row>
    <row r="69" spans="1:33" x14ac:dyDescent="0.25">
      <c r="A69" s="3">
        <v>39630</v>
      </c>
      <c r="B69" s="45">
        <v>84482828.238565534</v>
      </c>
      <c r="C69" s="59">
        <v>3.7</v>
      </c>
      <c r="D69" s="59">
        <v>87.7</v>
      </c>
      <c r="E69" s="62">
        <v>140.07371525716499</v>
      </c>
      <c r="F69" s="61">
        <v>31</v>
      </c>
      <c r="G69" s="61">
        <v>0</v>
      </c>
      <c r="H69" s="45">
        <v>1017</v>
      </c>
      <c r="I69" s="61">
        <v>352</v>
      </c>
      <c r="J69" s="10">
        <f t="shared" si="1"/>
        <v>82995413.597756356</v>
      </c>
    </row>
    <row r="70" spans="1:33" x14ac:dyDescent="0.25">
      <c r="A70" s="3">
        <v>39661</v>
      </c>
      <c r="B70" s="45">
        <v>80071649.563716561</v>
      </c>
      <c r="C70" s="59">
        <v>20.2</v>
      </c>
      <c r="D70" s="59">
        <v>45.2</v>
      </c>
      <c r="E70" s="62">
        <v>140.01521702937399</v>
      </c>
      <c r="F70" s="61">
        <v>31</v>
      </c>
      <c r="G70" s="61">
        <v>0</v>
      </c>
      <c r="H70" s="45">
        <v>1018</v>
      </c>
      <c r="I70" s="61">
        <v>320</v>
      </c>
      <c r="J70" s="10">
        <f t="shared" si="1"/>
        <v>78924500.908295646</v>
      </c>
    </row>
    <row r="71" spans="1:33" x14ac:dyDescent="0.25">
      <c r="A71" s="3">
        <v>39692</v>
      </c>
      <c r="B71" s="45">
        <v>76620766.602742374</v>
      </c>
      <c r="C71" s="59">
        <v>70.400000000000006</v>
      </c>
      <c r="D71" s="59">
        <v>20.3</v>
      </c>
      <c r="E71" s="62">
        <v>139.95674323188132</v>
      </c>
      <c r="F71" s="61">
        <v>30</v>
      </c>
      <c r="G71" s="61">
        <v>1</v>
      </c>
      <c r="H71" s="45">
        <v>1020</v>
      </c>
      <c r="I71" s="61">
        <v>336</v>
      </c>
      <c r="J71" s="10">
        <f t="shared" si="1"/>
        <v>76291596.741927117</v>
      </c>
    </row>
    <row r="72" spans="1:33" x14ac:dyDescent="0.25">
      <c r="A72" s="3">
        <v>39722</v>
      </c>
      <c r="B72" s="45">
        <v>74151729.427557781</v>
      </c>
      <c r="C72" s="59">
        <v>297.5</v>
      </c>
      <c r="D72" s="59">
        <v>0</v>
      </c>
      <c r="E72" s="62">
        <v>139.89829385448431</v>
      </c>
      <c r="F72" s="61">
        <v>31</v>
      </c>
      <c r="G72" s="61">
        <v>1</v>
      </c>
      <c r="H72" s="45">
        <v>1027</v>
      </c>
      <c r="I72" s="61">
        <v>352</v>
      </c>
      <c r="J72" s="10">
        <f t="shared" si="1"/>
        <v>76870356.583536386</v>
      </c>
    </row>
    <row r="73" spans="1:33" x14ac:dyDescent="0.25">
      <c r="A73" s="3">
        <v>39753</v>
      </c>
      <c r="B73" s="45">
        <v>71216502.291686654</v>
      </c>
      <c r="C73" s="59">
        <v>460.6</v>
      </c>
      <c r="D73" s="59">
        <v>0</v>
      </c>
      <c r="E73" s="62">
        <v>139.83986888698453</v>
      </c>
      <c r="F73" s="61">
        <v>30</v>
      </c>
      <c r="G73" s="61">
        <v>1</v>
      </c>
      <c r="H73" s="45">
        <v>1030</v>
      </c>
      <c r="I73" s="61">
        <v>304</v>
      </c>
      <c r="J73" s="10">
        <f t="shared" si="1"/>
        <v>75878223.482632309</v>
      </c>
    </row>
    <row r="74" spans="1:33" x14ac:dyDescent="0.25">
      <c r="A74" s="3">
        <v>39783</v>
      </c>
      <c r="B74" s="45">
        <v>75091590.008629784</v>
      </c>
      <c r="C74" s="59">
        <v>655.29999999999995</v>
      </c>
      <c r="D74" s="59">
        <v>0</v>
      </c>
      <c r="E74" s="62">
        <v>139.78146831918784</v>
      </c>
      <c r="F74" s="61">
        <v>31</v>
      </c>
      <c r="G74" s="61">
        <v>0</v>
      </c>
      <c r="H74" s="45">
        <v>1035</v>
      </c>
      <c r="I74" s="61">
        <v>336</v>
      </c>
      <c r="J74" s="10">
        <f t="shared" si="1"/>
        <v>78950501.562941089</v>
      </c>
    </row>
    <row r="75" spans="1:33" s="15" customFormat="1" x14ac:dyDescent="0.25">
      <c r="A75" s="3">
        <v>39814</v>
      </c>
      <c r="B75" s="45">
        <v>81241462.028957725</v>
      </c>
      <c r="C75" s="59">
        <v>712.8153846153848</v>
      </c>
      <c r="D75" s="59">
        <v>0</v>
      </c>
      <c r="E75" s="62">
        <v>139.37911160687111</v>
      </c>
      <c r="F75" s="61">
        <v>31</v>
      </c>
      <c r="G75" s="61">
        <v>0</v>
      </c>
      <c r="H75" s="45" t="e">
        <f t="shared" ref="H75:H80" si="2">H74+($H$81-$H$74)/7</f>
        <v>#REF!</v>
      </c>
      <c r="I75" s="61">
        <v>336</v>
      </c>
      <c r="J75" s="10" t="e">
        <f t="shared" si="1"/>
        <v>#REF!</v>
      </c>
      <c r="K75" s="46"/>
      <c r="L75" s="1"/>
      <c r="M75"/>
      <c r="N75"/>
      <c r="O75"/>
      <c r="P75"/>
      <c r="Q75"/>
      <c r="R75"/>
      <c r="S75"/>
      <c r="T75"/>
      <c r="U75"/>
      <c r="V75"/>
      <c r="W75"/>
      <c r="X75"/>
      <c r="Y75" s="11"/>
      <c r="Z75" s="11"/>
      <c r="AA75" s="11"/>
      <c r="AB75" s="11"/>
      <c r="AC75" s="11"/>
      <c r="AD75" s="11"/>
      <c r="AE75" s="11"/>
      <c r="AF75" s="11"/>
      <c r="AG75" s="11"/>
    </row>
    <row r="76" spans="1:33" x14ac:dyDescent="0.25">
      <c r="A76" s="3">
        <v>39845</v>
      </c>
      <c r="B76" s="45">
        <v>77799441.336657405</v>
      </c>
      <c r="C76" s="59">
        <v>627.4</v>
      </c>
      <c r="D76" s="59">
        <v>0</v>
      </c>
      <c r="E76" s="62">
        <v>138.97791306613385</v>
      </c>
      <c r="F76" s="61">
        <v>28</v>
      </c>
      <c r="G76" s="61">
        <v>0</v>
      </c>
      <c r="H76" s="45" t="e">
        <f t="shared" si="2"/>
        <v>#REF!</v>
      </c>
      <c r="I76" s="61">
        <v>304</v>
      </c>
      <c r="J76" s="10" t="e">
        <f t="shared" si="1"/>
        <v>#REF!</v>
      </c>
      <c r="K76" s="46"/>
    </row>
    <row r="77" spans="1:33" x14ac:dyDescent="0.25">
      <c r="A77" s="3">
        <v>39873</v>
      </c>
      <c r="B77" s="45">
        <v>78670887.32380861</v>
      </c>
      <c r="C77" s="59">
        <v>566.50769230769231</v>
      </c>
      <c r="D77" s="59">
        <v>0</v>
      </c>
      <c r="E77" s="62">
        <v>138.57786936321438</v>
      </c>
      <c r="F77" s="61">
        <v>31</v>
      </c>
      <c r="G77" s="61">
        <v>1</v>
      </c>
      <c r="H77" s="45" t="e">
        <f t="shared" si="2"/>
        <v>#REF!</v>
      </c>
      <c r="I77" s="61">
        <v>352</v>
      </c>
      <c r="J77" s="10" t="e">
        <f t="shared" si="1"/>
        <v>#REF!</v>
      </c>
      <c r="K77" s="46"/>
    </row>
    <row r="78" spans="1:33" x14ac:dyDescent="0.25">
      <c r="A78" s="3">
        <v>39904</v>
      </c>
      <c r="B78" s="45">
        <v>74410559.631795958</v>
      </c>
      <c r="C78" s="59">
        <v>341.76153846153852</v>
      </c>
      <c r="D78" s="59">
        <v>0.61538461538461542</v>
      </c>
      <c r="E78" s="62">
        <v>138.17897717394706</v>
      </c>
      <c r="F78" s="61">
        <v>30</v>
      </c>
      <c r="G78" s="61">
        <v>1</v>
      </c>
      <c r="H78" s="45" t="e">
        <f t="shared" si="2"/>
        <v>#REF!</v>
      </c>
      <c r="I78" s="61">
        <v>320</v>
      </c>
      <c r="J78" s="10" t="e">
        <f t="shared" si="1"/>
        <v>#REF!</v>
      </c>
      <c r="K78" s="46"/>
    </row>
    <row r="79" spans="1:33" x14ac:dyDescent="0.25">
      <c r="A79" s="3">
        <v>39934</v>
      </c>
      <c r="B79" s="45">
        <v>74549248.1445968</v>
      </c>
      <c r="C79" s="59">
        <v>178.33076923076925</v>
      </c>
      <c r="D79" s="59">
        <v>11.461538461538463</v>
      </c>
      <c r="E79" s="62">
        <v>137.78123318373483</v>
      </c>
      <c r="F79" s="61">
        <v>31</v>
      </c>
      <c r="G79" s="61">
        <v>1</v>
      </c>
      <c r="H79" s="45" t="e">
        <f t="shared" si="2"/>
        <v>#REF!</v>
      </c>
      <c r="I79" s="61">
        <v>320</v>
      </c>
      <c r="J79" s="10" t="e">
        <f t="shared" si="1"/>
        <v>#REF!</v>
      </c>
      <c r="K79" s="46"/>
    </row>
    <row r="80" spans="1:33" x14ac:dyDescent="0.25">
      <c r="A80" s="3">
        <v>39965</v>
      </c>
      <c r="B80" s="45">
        <v>79221333.579441935</v>
      </c>
      <c r="C80" s="59">
        <v>38</v>
      </c>
      <c r="D80" s="59">
        <v>61.2</v>
      </c>
      <c r="E80" s="62">
        <v>137.38463408752156</v>
      </c>
      <c r="F80" s="61">
        <v>30</v>
      </c>
      <c r="G80" s="61">
        <v>0</v>
      </c>
      <c r="H80" s="45" t="e">
        <f t="shared" si="2"/>
        <v>#REF!</v>
      </c>
      <c r="I80" s="61">
        <v>352</v>
      </c>
      <c r="J80" s="10" t="e">
        <f t="shared" si="1"/>
        <v>#REF!</v>
      </c>
      <c r="K80" s="46"/>
    </row>
    <row r="81" spans="1:33" x14ac:dyDescent="0.25">
      <c r="A81" s="3">
        <v>39995</v>
      </c>
      <c r="B81" s="45">
        <v>84482828.238565534</v>
      </c>
      <c r="C81" s="59">
        <v>6.9153846153846157</v>
      </c>
      <c r="D81" s="59">
        <v>96.953846153846143</v>
      </c>
      <c r="E81" s="62">
        <v>136.98917658976464</v>
      </c>
      <c r="F81" s="61">
        <v>31</v>
      </c>
      <c r="G81" s="61">
        <v>0</v>
      </c>
      <c r="H81" s="45" t="e">
        <f>'Rate Class Customer Model'!#REF!</f>
        <v>#REF!</v>
      </c>
      <c r="I81" s="61">
        <v>352</v>
      </c>
      <c r="J81" s="10" t="e">
        <f t="shared" si="1"/>
        <v>#REF!</v>
      </c>
      <c r="K81" s="46"/>
    </row>
    <row r="82" spans="1:33" x14ac:dyDescent="0.25">
      <c r="A82" s="3">
        <v>40026</v>
      </c>
      <c r="B82" s="45">
        <v>80071649.563716561</v>
      </c>
      <c r="C82" s="59">
        <v>10.86923076923077</v>
      </c>
      <c r="D82" s="59">
        <v>76.623076923076937</v>
      </c>
      <c r="E82" s="62">
        <v>136.59485740440758</v>
      </c>
      <c r="F82" s="61">
        <v>31</v>
      </c>
      <c r="G82" s="61">
        <v>0</v>
      </c>
      <c r="H82" s="45" t="e">
        <f t="shared" ref="H82:H91" si="3">H81+($H$92-$H$81)/11</f>
        <v>#REF!</v>
      </c>
      <c r="I82" s="61">
        <v>320</v>
      </c>
      <c r="J82" s="10" t="e">
        <f t="shared" si="1"/>
        <v>#REF!</v>
      </c>
      <c r="K82" s="46"/>
    </row>
    <row r="83" spans="1:33" x14ac:dyDescent="0.25">
      <c r="A83" s="3">
        <v>40057</v>
      </c>
      <c r="B83" s="45">
        <v>76620766.602742374</v>
      </c>
      <c r="C83" s="59">
        <v>70.815384615384602</v>
      </c>
      <c r="D83" s="59">
        <v>27.34615384615385</v>
      </c>
      <c r="E83" s="62">
        <v>136.20167325485272</v>
      </c>
      <c r="F83" s="61">
        <v>30</v>
      </c>
      <c r="G83" s="61">
        <v>1</v>
      </c>
      <c r="H83" s="45" t="e">
        <f t="shared" si="3"/>
        <v>#REF!</v>
      </c>
      <c r="I83" s="61">
        <v>336</v>
      </c>
      <c r="J83" s="10" t="e">
        <f t="shared" si="1"/>
        <v>#REF!</v>
      </c>
      <c r="K83" s="46"/>
    </row>
    <row r="84" spans="1:33" x14ac:dyDescent="0.25">
      <c r="A84" s="3">
        <v>40087</v>
      </c>
      <c r="B84" s="45">
        <v>74151729.427557781</v>
      </c>
      <c r="C84" s="59">
        <v>259.90769230769229</v>
      </c>
      <c r="D84" s="59">
        <v>2.5846153846153848</v>
      </c>
      <c r="E84" s="62">
        <v>135.80962087393394</v>
      </c>
      <c r="F84" s="61">
        <v>31</v>
      </c>
      <c r="G84" s="61">
        <v>1</v>
      </c>
      <c r="H84" s="45" t="e">
        <f t="shared" si="3"/>
        <v>#REF!</v>
      </c>
      <c r="I84" s="61">
        <v>336</v>
      </c>
      <c r="J84" s="10" t="e">
        <f t="shared" si="1"/>
        <v>#REF!</v>
      </c>
      <c r="K84" s="46"/>
    </row>
    <row r="85" spans="1:33" x14ac:dyDescent="0.25">
      <c r="A85" s="3">
        <v>40118</v>
      </c>
      <c r="B85" s="45">
        <v>71216502.291686654</v>
      </c>
      <c r="C85" s="59">
        <v>424.6153846153847</v>
      </c>
      <c r="D85" s="59">
        <v>0</v>
      </c>
      <c r="E85" s="62">
        <v>135.41869700388958</v>
      </c>
      <c r="F85" s="61">
        <v>30</v>
      </c>
      <c r="G85" s="61">
        <v>1</v>
      </c>
      <c r="H85" s="45" t="e">
        <f t="shared" si="3"/>
        <v>#REF!</v>
      </c>
      <c r="I85" s="61">
        <v>320</v>
      </c>
      <c r="J85" s="10" t="e">
        <f t="shared" si="1"/>
        <v>#REF!</v>
      </c>
      <c r="K85" s="46"/>
    </row>
    <row r="86" spans="1:33" s="32" customFormat="1" x14ac:dyDescent="0.25">
      <c r="A86" s="3">
        <v>40148</v>
      </c>
      <c r="B86" s="45">
        <v>75091590.008629784</v>
      </c>
      <c r="C86" s="59">
        <v>614.35384615384623</v>
      </c>
      <c r="D86" s="59">
        <v>0</v>
      </c>
      <c r="E86" s="62">
        <v>135.02889839633545</v>
      </c>
      <c r="F86" s="61">
        <v>31</v>
      </c>
      <c r="G86" s="61">
        <v>0</v>
      </c>
      <c r="H86" s="45" t="e">
        <f t="shared" si="3"/>
        <v>#REF!</v>
      </c>
      <c r="I86" s="61">
        <v>352</v>
      </c>
      <c r="J86" s="10" t="e">
        <f t="shared" si="1"/>
        <v>#REF!</v>
      </c>
      <c r="K86" s="46"/>
      <c r="L86" s="1"/>
      <c r="M86"/>
      <c r="N86"/>
      <c r="O86"/>
      <c r="P86"/>
      <c r="Q86"/>
      <c r="R86"/>
      <c r="S86"/>
      <c r="T86"/>
      <c r="U86"/>
      <c r="V86"/>
      <c r="W86"/>
      <c r="X86"/>
      <c r="Y86" s="28"/>
      <c r="Z86" s="28"/>
      <c r="AA86" s="28"/>
      <c r="AB86" s="28"/>
      <c r="AC86" s="28"/>
      <c r="AD86" s="28"/>
      <c r="AE86" s="28"/>
      <c r="AF86" s="28"/>
      <c r="AG86" s="28"/>
    </row>
    <row r="87" spans="1:33" x14ac:dyDescent="0.25">
      <c r="A87" s="3">
        <v>40179</v>
      </c>
      <c r="B87" s="44">
        <v>77932126.179520398</v>
      </c>
      <c r="C87" s="59">
        <v>719.94353846153865</v>
      </c>
      <c r="D87" s="59">
        <v>0</v>
      </c>
      <c r="E87" s="62">
        <v>135.32901731143812</v>
      </c>
      <c r="F87" s="61">
        <v>31</v>
      </c>
      <c r="G87" s="61">
        <v>0</v>
      </c>
      <c r="H87" s="45" t="e">
        <f t="shared" si="3"/>
        <v>#REF!</v>
      </c>
      <c r="I87" s="61">
        <v>320</v>
      </c>
      <c r="J87" s="10" t="e">
        <f t="shared" si="1"/>
        <v>#REF!</v>
      </c>
      <c r="K87" s="46"/>
      <c r="Y87" s="11"/>
      <c r="Z87" s="11"/>
      <c r="AA87" s="11"/>
    </row>
    <row r="88" spans="1:33" x14ac:dyDescent="0.25">
      <c r="A88" s="3">
        <v>40210</v>
      </c>
      <c r="B88" s="44">
        <v>77905016.959558696</v>
      </c>
      <c r="C88" s="59">
        <v>633.67399999999998</v>
      </c>
      <c r="D88" s="59">
        <v>0</v>
      </c>
      <c r="E88" s="62">
        <v>135.62980327903304</v>
      </c>
      <c r="F88" s="61">
        <v>28</v>
      </c>
      <c r="G88" s="61">
        <v>0</v>
      </c>
      <c r="H88" s="45" t="e">
        <f t="shared" si="3"/>
        <v>#REF!</v>
      </c>
      <c r="I88" s="61">
        <v>304</v>
      </c>
      <c r="J88" s="10" t="e">
        <f t="shared" si="1"/>
        <v>#REF!</v>
      </c>
      <c r="K88" s="46"/>
    </row>
    <row r="89" spans="1:33" x14ac:dyDescent="0.25">
      <c r="A89" s="3">
        <v>40238</v>
      </c>
      <c r="B89" s="44">
        <v>77877907.739596903</v>
      </c>
      <c r="C89" s="59">
        <v>572.17276923076929</v>
      </c>
      <c r="D89" s="59">
        <v>0</v>
      </c>
      <c r="E89" s="62">
        <v>135.9312577817293</v>
      </c>
      <c r="F89" s="61">
        <v>31</v>
      </c>
      <c r="G89" s="61">
        <v>1</v>
      </c>
      <c r="H89" s="45" t="e">
        <f t="shared" si="3"/>
        <v>#REF!</v>
      </c>
      <c r="I89" s="61">
        <v>368</v>
      </c>
      <c r="J89" s="10" t="e">
        <f t="shared" si="1"/>
        <v>#REF!</v>
      </c>
      <c r="K89" s="46"/>
    </row>
    <row r="90" spans="1:33" x14ac:dyDescent="0.25">
      <c r="A90" s="3">
        <v>40269</v>
      </c>
      <c r="B90" s="44">
        <v>77850798.519635096</v>
      </c>
      <c r="C90" s="59">
        <v>345.17915384615389</v>
      </c>
      <c r="D90" s="59">
        <v>0.6215384615384616</v>
      </c>
      <c r="E90" s="62">
        <v>136.23338230543126</v>
      </c>
      <c r="F90" s="61">
        <v>30</v>
      </c>
      <c r="G90" s="61">
        <v>1</v>
      </c>
      <c r="H90" s="45" t="e">
        <f t="shared" si="3"/>
        <v>#REF!</v>
      </c>
      <c r="I90" s="61">
        <v>320</v>
      </c>
      <c r="J90" s="10" t="e">
        <f t="shared" si="1"/>
        <v>#REF!</v>
      </c>
      <c r="K90" s="46"/>
    </row>
    <row r="91" spans="1:33" x14ac:dyDescent="0.25">
      <c r="A91" s="3">
        <v>40299</v>
      </c>
      <c r="B91" s="44">
        <v>77823689.299673393</v>
      </c>
      <c r="C91" s="59">
        <v>180.11407692307694</v>
      </c>
      <c r="D91" s="59">
        <v>11.576153846153849</v>
      </c>
      <c r="E91" s="62">
        <v>136.53617833934589</v>
      </c>
      <c r="F91" s="61">
        <v>31</v>
      </c>
      <c r="G91" s="61">
        <v>1</v>
      </c>
      <c r="H91" s="45" t="e">
        <f t="shared" si="3"/>
        <v>#REF!</v>
      </c>
      <c r="I91" s="61">
        <v>320</v>
      </c>
      <c r="J91" s="10" t="e">
        <f t="shared" si="1"/>
        <v>#REF!</v>
      </c>
      <c r="K91" s="46"/>
    </row>
    <row r="92" spans="1:33" x14ac:dyDescent="0.25">
      <c r="A92" s="3">
        <v>40330</v>
      </c>
      <c r="B92" s="44">
        <v>77796580.079711601</v>
      </c>
      <c r="C92" s="59">
        <v>38.380000000000003</v>
      </c>
      <c r="D92" s="59">
        <v>61.812000000000005</v>
      </c>
      <c r="E92" s="62">
        <v>136.83964737599013</v>
      </c>
      <c r="F92" s="61">
        <v>30</v>
      </c>
      <c r="G92" s="61">
        <v>0</v>
      </c>
      <c r="H92" s="45">
        <f>'Rate Class Customer Model'!D3</f>
        <v>167.99999999999994</v>
      </c>
      <c r="I92" s="61">
        <v>352</v>
      </c>
      <c r="J92" s="10">
        <f t="shared" si="1"/>
        <v>62420240.434560172</v>
      </c>
      <c r="K92" s="46"/>
    </row>
    <row r="93" spans="1:33" x14ac:dyDescent="0.25">
      <c r="A93" s="3">
        <v>40360</v>
      </c>
      <c r="B93" s="44">
        <v>77769470.859749794</v>
      </c>
      <c r="C93" s="59">
        <v>6.9845384615384623</v>
      </c>
      <c r="D93" s="59">
        <v>97.923384615384606</v>
      </c>
      <c r="E93" s="62">
        <v>137.14379091119821</v>
      </c>
      <c r="F93" s="61">
        <v>31</v>
      </c>
      <c r="G93" s="61">
        <v>0</v>
      </c>
      <c r="H93" s="45" t="e">
        <f t="shared" ref="H93:H109" si="4">H92+($H$92-$H$81)/11</f>
        <v>#REF!</v>
      </c>
      <c r="I93" s="61">
        <v>336</v>
      </c>
      <c r="J93" s="10" t="e">
        <f t="shared" si="1"/>
        <v>#REF!</v>
      </c>
      <c r="K93" s="46"/>
    </row>
    <row r="94" spans="1:33" x14ac:dyDescent="0.25">
      <c r="A94" s="3">
        <v>40391</v>
      </c>
      <c r="B94" s="44">
        <v>77742361.639788106</v>
      </c>
      <c r="C94" s="59">
        <v>10.977923076923078</v>
      </c>
      <c r="D94" s="59">
        <v>77.38930769230771</v>
      </c>
      <c r="E94" s="62">
        <v>137.44861044412903</v>
      </c>
      <c r="F94" s="61">
        <v>31</v>
      </c>
      <c r="G94" s="61">
        <v>0</v>
      </c>
      <c r="H94" s="45" t="e">
        <f t="shared" si="4"/>
        <v>#REF!</v>
      </c>
      <c r="I94" s="61">
        <v>336</v>
      </c>
      <c r="J94" s="10" t="e">
        <f t="shared" si="1"/>
        <v>#REF!</v>
      </c>
      <c r="K94" s="46"/>
    </row>
    <row r="95" spans="1:33" x14ac:dyDescent="0.25">
      <c r="A95" s="3">
        <v>40422</v>
      </c>
      <c r="B95" s="44">
        <v>77715252.419826299</v>
      </c>
      <c r="C95" s="59">
        <v>71.52353846153845</v>
      </c>
      <c r="D95" s="59">
        <v>27.61961538461539</v>
      </c>
      <c r="E95" s="62">
        <v>137.75410747727361</v>
      </c>
      <c r="F95" s="61">
        <v>30</v>
      </c>
      <c r="G95" s="61">
        <v>1</v>
      </c>
      <c r="H95" s="45" t="e">
        <f t="shared" si="4"/>
        <v>#REF!</v>
      </c>
      <c r="I95" s="61">
        <v>336</v>
      </c>
      <c r="J95" s="10" t="e">
        <f t="shared" si="1"/>
        <v>#REF!</v>
      </c>
      <c r="K95" s="46"/>
    </row>
    <row r="96" spans="1:33" x14ac:dyDescent="0.25">
      <c r="A96" s="3">
        <v>40452</v>
      </c>
      <c r="B96" s="44">
        <v>77688143.199864596</v>
      </c>
      <c r="C96" s="59">
        <v>262.50676923076924</v>
      </c>
      <c r="D96" s="59">
        <v>2.6104615384615388</v>
      </c>
      <c r="E96" s="62">
        <v>138.06028351646239</v>
      </c>
      <c r="F96" s="61">
        <v>31</v>
      </c>
      <c r="G96" s="61">
        <v>1</v>
      </c>
      <c r="H96" s="45" t="e">
        <f t="shared" si="4"/>
        <v>#REF!</v>
      </c>
      <c r="I96" s="61">
        <v>320</v>
      </c>
      <c r="J96" s="10" t="e">
        <f t="shared" si="1"/>
        <v>#REF!</v>
      </c>
      <c r="K96" s="46"/>
    </row>
    <row r="97" spans="1:11" x14ac:dyDescent="0.25">
      <c r="A97" s="3">
        <v>40483</v>
      </c>
      <c r="B97" s="44">
        <v>77661033.979902804</v>
      </c>
      <c r="C97" s="59">
        <v>428.86153846153854</v>
      </c>
      <c r="D97" s="59">
        <v>0</v>
      </c>
      <c r="E97" s="62">
        <v>138.36714007087275</v>
      </c>
      <c r="F97" s="61">
        <v>30</v>
      </c>
      <c r="G97" s="61">
        <v>1</v>
      </c>
      <c r="H97" s="45" t="e">
        <f t="shared" si="4"/>
        <v>#REF!</v>
      </c>
      <c r="I97" s="61">
        <v>336</v>
      </c>
      <c r="J97" s="10" t="e">
        <f t="shared" si="1"/>
        <v>#REF!</v>
      </c>
      <c r="K97" s="46"/>
    </row>
    <row r="98" spans="1:11" x14ac:dyDescent="0.25">
      <c r="A98" s="3">
        <v>40513</v>
      </c>
      <c r="B98" s="44">
        <v>77633924.759940997</v>
      </c>
      <c r="C98" s="59">
        <v>620.4973846153847</v>
      </c>
      <c r="D98" s="59">
        <v>0</v>
      </c>
      <c r="E98" s="62">
        <v>138.67467865303649</v>
      </c>
      <c r="F98" s="61">
        <v>31</v>
      </c>
      <c r="G98" s="61">
        <v>0</v>
      </c>
      <c r="H98" s="45" t="e">
        <f t="shared" si="4"/>
        <v>#REF!</v>
      </c>
      <c r="I98" s="61">
        <v>368</v>
      </c>
      <c r="J98" s="10" t="e">
        <f t="shared" si="1"/>
        <v>#REF!</v>
      </c>
      <c r="K98" s="46"/>
    </row>
    <row r="99" spans="1:11" x14ac:dyDescent="0.25">
      <c r="A99" s="3">
        <v>40544</v>
      </c>
      <c r="C99" s="19">
        <f t="shared" ref="C99:D110" si="5">(C3+C15+C27+C39+C51+C63+C75+C87)/8</f>
        <v>717.5198653846154</v>
      </c>
      <c r="D99" s="19">
        <f t="shared" si="5"/>
        <v>0</v>
      </c>
      <c r="E99" s="62">
        <v>139.03916243618784</v>
      </c>
      <c r="F99" s="61">
        <v>31</v>
      </c>
      <c r="G99" s="61">
        <v>0</v>
      </c>
      <c r="H99" s="45" t="e">
        <f t="shared" si="4"/>
        <v>#REF!</v>
      </c>
      <c r="I99" s="61">
        <v>336</v>
      </c>
      <c r="J99" s="10" t="e">
        <f t="shared" si="1"/>
        <v>#REF!</v>
      </c>
      <c r="K99" s="46"/>
    </row>
    <row r="100" spans="1:11" x14ac:dyDescent="0.25">
      <c r="A100" s="3">
        <v>40575</v>
      </c>
      <c r="C100" s="19">
        <f t="shared" si="5"/>
        <v>661.63424999999995</v>
      </c>
      <c r="D100" s="19">
        <f t="shared" si="5"/>
        <v>0</v>
      </c>
      <c r="E100" s="62">
        <v>139.40460420553731</v>
      </c>
      <c r="F100" s="61">
        <v>28</v>
      </c>
      <c r="G100" s="61">
        <v>0</v>
      </c>
      <c r="H100" s="45" t="e">
        <f t="shared" si="4"/>
        <v>#REF!</v>
      </c>
      <c r="I100" s="61">
        <v>304</v>
      </c>
      <c r="J100" s="10" t="e">
        <f t="shared" si="1"/>
        <v>#REF!</v>
      </c>
      <c r="K100" s="46"/>
    </row>
    <row r="101" spans="1:11" x14ac:dyDescent="0.25">
      <c r="A101" s="3">
        <v>40603</v>
      </c>
      <c r="C101" s="19">
        <f t="shared" si="5"/>
        <v>576.21005769230771</v>
      </c>
      <c r="D101" s="19">
        <f t="shared" si="5"/>
        <v>0</v>
      </c>
      <c r="E101" s="62">
        <v>139.77100647899545</v>
      </c>
      <c r="F101" s="61">
        <v>31</v>
      </c>
      <c r="G101" s="61">
        <v>1</v>
      </c>
      <c r="H101" s="45" t="e">
        <f t="shared" si="4"/>
        <v>#REF!</v>
      </c>
      <c r="I101" s="61">
        <v>368</v>
      </c>
      <c r="J101" s="10" t="e">
        <f t="shared" si="1"/>
        <v>#REF!</v>
      </c>
      <c r="K101" s="46"/>
    </row>
    <row r="102" spans="1:11" x14ac:dyDescent="0.25">
      <c r="A102" s="3">
        <v>40634</v>
      </c>
      <c r="C102" s="19">
        <f t="shared" si="5"/>
        <v>340.21758653846155</v>
      </c>
      <c r="D102" s="19">
        <f t="shared" si="5"/>
        <v>0.15461538461538463</v>
      </c>
      <c r="E102" s="62">
        <v>140.13837178109071</v>
      </c>
      <c r="F102" s="61">
        <v>30</v>
      </c>
      <c r="G102" s="61">
        <v>1</v>
      </c>
      <c r="H102" s="45" t="e">
        <f t="shared" si="4"/>
        <v>#REF!</v>
      </c>
      <c r="I102" s="61">
        <v>320</v>
      </c>
      <c r="J102" s="10" t="e">
        <f t="shared" si="1"/>
        <v>#REF!</v>
      </c>
      <c r="K102" s="46"/>
    </row>
    <row r="103" spans="1:11" x14ac:dyDescent="0.25">
      <c r="A103" s="3">
        <v>40664</v>
      </c>
      <c r="C103" s="19">
        <f t="shared" si="5"/>
        <v>182.38060576923075</v>
      </c>
      <c r="D103" s="19">
        <f t="shared" si="5"/>
        <v>10.404711538461537</v>
      </c>
      <c r="E103" s="62">
        <v>140.50670264298682</v>
      </c>
      <c r="F103" s="61">
        <v>31</v>
      </c>
      <c r="G103" s="61">
        <v>1</v>
      </c>
      <c r="H103" s="45" t="e">
        <f t="shared" si="4"/>
        <v>#REF!</v>
      </c>
      <c r="I103" s="61">
        <v>336</v>
      </c>
      <c r="J103" s="10" t="e">
        <f t="shared" si="1"/>
        <v>#REF!</v>
      </c>
      <c r="K103" s="46"/>
    </row>
    <row r="104" spans="1:11" x14ac:dyDescent="0.25">
      <c r="A104" s="3">
        <v>40695</v>
      </c>
      <c r="C104" s="19">
        <f t="shared" si="5"/>
        <v>35.522499999999994</v>
      </c>
      <c r="D104" s="19">
        <f t="shared" si="5"/>
        <v>60.701499999999996</v>
      </c>
      <c r="E104" s="62">
        <v>140.87600160250034</v>
      </c>
      <c r="F104" s="61">
        <v>30</v>
      </c>
      <c r="G104" s="61">
        <v>0</v>
      </c>
      <c r="H104" s="45" t="e">
        <f t="shared" si="4"/>
        <v>#REF!</v>
      </c>
      <c r="I104" s="61">
        <v>352</v>
      </c>
      <c r="J104" s="10" t="e">
        <f t="shared" si="1"/>
        <v>#REF!</v>
      </c>
      <c r="K104" s="46"/>
    </row>
    <row r="105" spans="1:11" x14ac:dyDescent="0.25">
      <c r="A105" s="3">
        <v>40725</v>
      </c>
      <c r="C105" s="19">
        <f t="shared" si="5"/>
        <v>5.4999903846153844</v>
      </c>
      <c r="D105" s="19">
        <f t="shared" si="5"/>
        <v>100.10965384615385</v>
      </c>
      <c r="E105" s="62">
        <v>141.24627120411799</v>
      </c>
      <c r="F105" s="61">
        <v>31</v>
      </c>
      <c r="G105" s="61">
        <v>0</v>
      </c>
      <c r="H105" s="45" t="e">
        <f t="shared" si="4"/>
        <v>#REF!</v>
      </c>
      <c r="I105" s="61">
        <v>320</v>
      </c>
      <c r="J105" s="10" t="e">
        <f t="shared" si="1"/>
        <v>#REF!</v>
      </c>
      <c r="K105" s="46"/>
    </row>
    <row r="106" spans="1:11" x14ac:dyDescent="0.25">
      <c r="A106" s="3">
        <v>40756</v>
      </c>
      <c r="C106" s="19">
        <f t="shared" si="5"/>
        <v>12.11839423076923</v>
      </c>
      <c r="D106" s="19">
        <f t="shared" si="5"/>
        <v>77.551548076923083</v>
      </c>
      <c r="E106" s="62">
        <v>141.61751399901428</v>
      </c>
      <c r="F106" s="61">
        <v>31</v>
      </c>
      <c r="G106" s="61">
        <v>0</v>
      </c>
      <c r="H106" s="45" t="e">
        <f t="shared" si="4"/>
        <v>#REF!</v>
      </c>
      <c r="I106" s="61">
        <v>352</v>
      </c>
      <c r="J106" s="10" t="e">
        <f t="shared" si="1"/>
        <v>#REF!</v>
      </c>
      <c r="K106" s="46"/>
    </row>
    <row r="107" spans="1:11" x14ac:dyDescent="0.25">
      <c r="A107" s="3">
        <v>40787</v>
      </c>
      <c r="C107" s="19">
        <f t="shared" si="5"/>
        <v>65.47986538461538</v>
      </c>
      <c r="D107" s="19">
        <f t="shared" si="5"/>
        <v>23.520721153846154</v>
      </c>
      <c r="E107" s="62">
        <v>141.98973254506907</v>
      </c>
      <c r="F107" s="61">
        <v>30</v>
      </c>
      <c r="G107" s="61">
        <v>1</v>
      </c>
      <c r="H107" s="45" t="e">
        <f t="shared" si="4"/>
        <v>#REF!</v>
      </c>
      <c r="I107" s="61">
        <v>336</v>
      </c>
      <c r="J107" s="10" t="e">
        <f t="shared" si="1"/>
        <v>#REF!</v>
      </c>
      <c r="K107" s="46"/>
    </row>
    <row r="108" spans="1:11" x14ac:dyDescent="0.25">
      <c r="A108" s="3">
        <v>40817</v>
      </c>
      <c r="C108" s="19">
        <f t="shared" si="5"/>
        <v>257.87680769230769</v>
      </c>
      <c r="D108" s="19">
        <f t="shared" si="5"/>
        <v>3.2243846153846158</v>
      </c>
      <c r="E108" s="62">
        <v>142.3629294068852</v>
      </c>
      <c r="F108" s="61">
        <v>31</v>
      </c>
      <c r="G108" s="61">
        <v>1</v>
      </c>
      <c r="H108" s="45" t="e">
        <f t="shared" si="4"/>
        <v>#REF!</v>
      </c>
      <c r="I108" s="61">
        <v>320</v>
      </c>
      <c r="J108" s="10" t="e">
        <f t="shared" si="1"/>
        <v>#REF!</v>
      </c>
      <c r="K108" s="46"/>
    </row>
    <row r="109" spans="1:11" x14ac:dyDescent="0.25">
      <c r="A109" s="3">
        <v>40848</v>
      </c>
      <c r="C109" s="19">
        <f t="shared" si="5"/>
        <v>419.80961538461543</v>
      </c>
      <c r="D109" s="19">
        <f t="shared" si="5"/>
        <v>0</v>
      </c>
      <c r="E109" s="62">
        <v>142.73710715580614</v>
      </c>
      <c r="F109" s="61">
        <v>30</v>
      </c>
      <c r="G109" s="61">
        <v>1</v>
      </c>
      <c r="H109" s="45" t="e">
        <f t="shared" si="4"/>
        <v>#REF!</v>
      </c>
      <c r="I109" s="61">
        <v>352</v>
      </c>
      <c r="J109" s="10" t="e">
        <f t="shared" si="1"/>
        <v>#REF!</v>
      </c>
      <c r="K109" s="46"/>
    </row>
    <row r="110" spans="1:11" x14ac:dyDescent="0.25">
      <c r="A110" s="3">
        <v>40878</v>
      </c>
      <c r="C110" s="19">
        <f t="shared" si="5"/>
        <v>616.96890384615381</v>
      </c>
      <c r="D110" s="19">
        <f t="shared" si="5"/>
        <v>0</v>
      </c>
      <c r="E110" s="62">
        <v>143.11226836993367</v>
      </c>
      <c r="F110" s="61">
        <v>31</v>
      </c>
      <c r="G110" s="61">
        <v>0</v>
      </c>
      <c r="H110" s="45">
        <v>1040.5273865414699</v>
      </c>
      <c r="I110" s="61">
        <v>336</v>
      </c>
      <c r="J110" s="10">
        <f t="shared" si="1"/>
        <v>78521527.550281093</v>
      </c>
      <c r="K110" s="46"/>
    </row>
    <row r="111" spans="1:11" x14ac:dyDescent="0.25">
      <c r="A111" s="3">
        <v>40909</v>
      </c>
      <c r="C111" s="19">
        <f>C99</f>
        <v>717.5198653846154</v>
      </c>
      <c r="D111" s="19">
        <f>D99</f>
        <v>0</v>
      </c>
      <c r="E111" s="62">
        <v>143.48841563414587</v>
      </c>
      <c r="F111" s="61">
        <v>31</v>
      </c>
      <c r="G111" s="61">
        <v>0</v>
      </c>
      <c r="H111" s="45">
        <v>1041.02433168264</v>
      </c>
      <c r="I111" s="61">
        <v>336</v>
      </c>
      <c r="J111" s="10">
        <f t="shared" si="1"/>
        <v>78942142.02906926</v>
      </c>
      <c r="K111" s="46"/>
    </row>
    <row r="112" spans="1:11" x14ac:dyDescent="0.25">
      <c r="A112" s="3">
        <v>40940</v>
      </c>
      <c r="C112" s="19">
        <f t="shared" ref="C112:D122" si="6">C100</f>
        <v>661.63424999999995</v>
      </c>
      <c r="D112" s="19">
        <f t="shared" si="6"/>
        <v>0</v>
      </c>
      <c r="E112" s="62">
        <v>143.86555154011452</v>
      </c>
      <c r="F112" s="61">
        <v>29</v>
      </c>
      <c r="G112" s="61">
        <v>0</v>
      </c>
      <c r="H112" s="45">
        <v>1041.5212768238</v>
      </c>
      <c r="I112" s="61">
        <v>320</v>
      </c>
      <c r="J112" s="10">
        <f t="shared" si="1"/>
        <v>77003134.969250858</v>
      </c>
      <c r="K112" s="46"/>
    </row>
    <row r="113" spans="1:27" x14ac:dyDescent="0.25">
      <c r="A113" s="3">
        <v>40969</v>
      </c>
      <c r="C113" s="19">
        <f t="shared" si="6"/>
        <v>576.21005769230771</v>
      </c>
      <c r="D113" s="19">
        <f t="shared" si="6"/>
        <v>0</v>
      </c>
      <c r="E113" s="62">
        <v>144.24367868632334</v>
      </c>
      <c r="F113" s="61">
        <v>31</v>
      </c>
      <c r="G113" s="61">
        <v>1</v>
      </c>
      <c r="H113" s="45">
        <v>1042.0182219649701</v>
      </c>
      <c r="I113" s="61">
        <v>352</v>
      </c>
      <c r="J113" s="10">
        <f t="shared" si="1"/>
        <v>77958628.322377473</v>
      </c>
      <c r="K113" s="46"/>
    </row>
    <row r="114" spans="1:27" x14ac:dyDescent="0.25">
      <c r="A114" s="3">
        <v>41000</v>
      </c>
      <c r="C114" s="19">
        <f t="shared" si="6"/>
        <v>340.21758653846155</v>
      </c>
      <c r="D114" s="19">
        <f t="shared" si="6"/>
        <v>0.15461538461538463</v>
      </c>
      <c r="E114" s="62">
        <v>144.62279967808564</v>
      </c>
      <c r="F114" s="61">
        <v>30</v>
      </c>
      <c r="G114" s="61">
        <v>1</v>
      </c>
      <c r="H114" s="45">
        <v>1042.5151671061401</v>
      </c>
      <c r="I114" s="61">
        <v>320</v>
      </c>
      <c r="J114" s="10">
        <f t="shared" si="1"/>
        <v>75467657.667465597</v>
      </c>
      <c r="K114" s="46"/>
    </row>
    <row r="115" spans="1:27" x14ac:dyDescent="0.25">
      <c r="A115" s="3">
        <v>41030</v>
      </c>
      <c r="C115" s="19">
        <f t="shared" si="6"/>
        <v>182.38060576923075</v>
      </c>
      <c r="D115" s="19">
        <f t="shared" si="6"/>
        <v>10.404711538461537</v>
      </c>
      <c r="E115" s="62">
        <v>145.00291712756245</v>
      </c>
      <c r="F115" s="61">
        <v>31</v>
      </c>
      <c r="G115" s="61">
        <v>1</v>
      </c>
      <c r="H115" s="45">
        <v>1043.0121122472999</v>
      </c>
      <c r="I115" s="61">
        <v>352</v>
      </c>
      <c r="J115" s="10">
        <f t="shared" si="1"/>
        <v>76954520.089441061</v>
      </c>
      <c r="K115" s="46"/>
    </row>
    <row r="116" spans="1:27" x14ac:dyDescent="0.25">
      <c r="A116" s="3">
        <v>41061</v>
      </c>
      <c r="C116" s="19">
        <f t="shared" si="6"/>
        <v>35.522499999999994</v>
      </c>
      <c r="D116" s="19">
        <f t="shared" si="6"/>
        <v>60.701499999999996</v>
      </c>
      <c r="E116" s="62">
        <v>145.38403365378039</v>
      </c>
      <c r="F116" s="61">
        <v>30</v>
      </c>
      <c r="G116" s="61">
        <v>0</v>
      </c>
      <c r="H116" s="45">
        <v>1043.50905738847</v>
      </c>
      <c r="I116" s="61">
        <v>336</v>
      </c>
      <c r="J116" s="10">
        <f t="shared" si="1"/>
        <v>79932711.506958649</v>
      </c>
      <c r="K116" s="46"/>
    </row>
    <row r="117" spans="1:27" x14ac:dyDescent="0.25">
      <c r="A117" s="3">
        <v>41091</v>
      </c>
      <c r="C117" s="19">
        <f t="shared" si="6"/>
        <v>5.4999903846153844</v>
      </c>
      <c r="D117" s="19">
        <f t="shared" si="6"/>
        <v>100.10965384615385</v>
      </c>
      <c r="E117" s="62">
        <v>145.76615188264978</v>
      </c>
      <c r="F117" s="61">
        <v>31</v>
      </c>
      <c r="G117" s="61">
        <v>0</v>
      </c>
      <c r="H117" s="45">
        <v>1044.00600252964</v>
      </c>
      <c r="I117" s="61">
        <v>336</v>
      </c>
      <c r="J117" s="10">
        <f t="shared" si="1"/>
        <v>83549782.723687991</v>
      </c>
      <c r="K117" s="46"/>
    </row>
    <row r="118" spans="1:27" x14ac:dyDescent="0.25">
      <c r="A118" s="3">
        <v>41122</v>
      </c>
      <c r="C118" s="19">
        <f t="shared" si="6"/>
        <v>12.11839423076923</v>
      </c>
      <c r="D118" s="19">
        <f t="shared" si="6"/>
        <v>77.551548076923083</v>
      </c>
      <c r="E118" s="62">
        <v>146.14927444698273</v>
      </c>
      <c r="F118" s="61">
        <v>31</v>
      </c>
      <c r="G118" s="61">
        <v>0</v>
      </c>
      <c r="H118" s="45">
        <v>1044.5029476708</v>
      </c>
      <c r="I118" s="61">
        <v>352</v>
      </c>
      <c r="J118" s="10">
        <f t="shared" si="1"/>
        <v>82131414.384608418</v>
      </c>
      <c r="K118" s="46"/>
    </row>
    <row r="119" spans="1:27" x14ac:dyDescent="0.25">
      <c r="A119" s="3">
        <v>41153</v>
      </c>
      <c r="C119" s="19">
        <f t="shared" si="6"/>
        <v>65.47986538461538</v>
      </c>
      <c r="D119" s="19">
        <f t="shared" si="6"/>
        <v>23.520721153846154</v>
      </c>
      <c r="E119" s="62">
        <v>146.53340398651127</v>
      </c>
      <c r="F119" s="61">
        <v>30</v>
      </c>
      <c r="G119" s="61">
        <v>1</v>
      </c>
      <c r="H119" s="45">
        <v>1044.9998928119701</v>
      </c>
      <c r="I119" s="61">
        <v>304</v>
      </c>
      <c r="J119" s="10">
        <f t="shared" si="1"/>
        <v>75549923.700338587</v>
      </c>
      <c r="K119" s="46"/>
    </row>
    <row r="120" spans="1:27" x14ac:dyDescent="0.25">
      <c r="A120" s="3">
        <v>41183</v>
      </c>
      <c r="C120" s="19">
        <f t="shared" si="6"/>
        <v>257.87680769230769</v>
      </c>
      <c r="D120" s="19">
        <f t="shared" si="6"/>
        <v>3.2243846153846158</v>
      </c>
      <c r="E120" s="62">
        <v>146.91854314790552</v>
      </c>
      <c r="F120" s="61">
        <v>31</v>
      </c>
      <c r="G120" s="61">
        <v>1</v>
      </c>
      <c r="H120" s="45">
        <v>1045.4968379531399</v>
      </c>
      <c r="I120" s="61">
        <v>352</v>
      </c>
      <c r="J120" s="10">
        <f t="shared" si="1"/>
        <v>76557523.40217039</v>
      </c>
      <c r="K120" s="46"/>
    </row>
    <row r="121" spans="1:27" x14ac:dyDescent="0.25">
      <c r="A121" s="3">
        <v>41214</v>
      </c>
      <c r="C121" s="19">
        <f t="shared" si="6"/>
        <v>419.80961538461543</v>
      </c>
      <c r="D121" s="19">
        <f t="shared" si="6"/>
        <v>0</v>
      </c>
      <c r="E121" s="62">
        <v>147.30469458479195</v>
      </c>
      <c r="F121" s="61">
        <v>30</v>
      </c>
      <c r="G121" s="61">
        <v>1</v>
      </c>
      <c r="H121" s="45">
        <v>1045.9937830942999</v>
      </c>
      <c r="I121" s="61">
        <v>352</v>
      </c>
      <c r="J121" s="10">
        <f t="shared" si="1"/>
        <v>76361397.471883804</v>
      </c>
      <c r="K121" s="46"/>
    </row>
    <row r="122" spans="1:27" x14ac:dyDescent="0.25">
      <c r="A122" s="3">
        <v>41244</v>
      </c>
      <c r="C122" s="19">
        <f t="shared" si="6"/>
        <v>616.96890384615381</v>
      </c>
      <c r="D122" s="19">
        <f t="shared" si="6"/>
        <v>0</v>
      </c>
      <c r="E122" s="62">
        <v>147.69186095777155</v>
      </c>
      <c r="F122" s="61">
        <v>31</v>
      </c>
      <c r="G122" s="61">
        <v>0</v>
      </c>
      <c r="H122" s="45">
        <v>1046.49072823547</v>
      </c>
      <c r="I122" s="61">
        <v>304</v>
      </c>
      <c r="J122" s="10">
        <f t="shared" si="1"/>
        <v>77357699.482645288</v>
      </c>
      <c r="K122" s="46"/>
    </row>
    <row r="123" spans="1:27" x14ac:dyDescent="0.25">
      <c r="A123" s="3"/>
      <c r="Y123" s="11"/>
      <c r="Z123" s="11"/>
      <c r="AA123" s="11"/>
    </row>
    <row r="124" spans="1:27" x14ac:dyDescent="0.25">
      <c r="A124" s="3"/>
      <c r="C124" s="20"/>
      <c r="D124" s="1" t="s">
        <v>15</v>
      </c>
      <c r="J124" s="46" t="e">
        <f>SUM(J3:J110)</f>
        <v>#REF!</v>
      </c>
    </row>
    <row r="125" spans="1:27" x14ac:dyDescent="0.25">
      <c r="A125" s="3"/>
    </row>
    <row r="126" spans="1:27" x14ac:dyDescent="0.25">
      <c r="A126" s="17">
        <v>2003</v>
      </c>
      <c r="B126" s="6">
        <f>SUM(B3:B14)</f>
        <v>930792138.52553058</v>
      </c>
      <c r="J126" s="6">
        <f>SUM(J3:J14)</f>
        <v>942354308.85335875</v>
      </c>
      <c r="K126" s="37">
        <f t="shared" ref="K126:K133" si="7">J126-B126</f>
        <v>11562170.327828169</v>
      </c>
      <c r="L126" s="5">
        <f t="shared" ref="L126:L133" si="8">K126/B126</f>
        <v>1.2421860745562186E-2</v>
      </c>
    </row>
    <row r="127" spans="1:27" x14ac:dyDescent="0.25">
      <c r="A127">
        <v>2004</v>
      </c>
      <c r="B127" s="6">
        <f>SUM(B15:B26)</f>
        <v>960535031.02887738</v>
      </c>
      <c r="J127" s="6">
        <f>SUM(J15:J26)</f>
        <v>945617124.60146165</v>
      </c>
      <c r="K127" s="37">
        <f t="shared" si="7"/>
        <v>-14917906.427415729</v>
      </c>
      <c r="L127" s="5">
        <f t="shared" si="8"/>
        <v>-1.5530830157684524E-2</v>
      </c>
    </row>
    <row r="128" spans="1:27" x14ac:dyDescent="0.25">
      <c r="A128" s="17">
        <v>2005</v>
      </c>
      <c r="B128" s="6">
        <f>SUM(B27:B38)</f>
        <v>981079779.93880272</v>
      </c>
      <c r="J128" s="6">
        <f>SUM(J27:J38)</f>
        <v>971522474.65665376</v>
      </c>
      <c r="K128" s="37">
        <f t="shared" si="7"/>
        <v>-9557305.2821489573</v>
      </c>
      <c r="L128" s="5">
        <f t="shared" si="8"/>
        <v>-9.7416188546308822E-3</v>
      </c>
      <c r="Y128" s="11"/>
      <c r="Z128" s="11"/>
      <c r="AA128" s="11"/>
    </row>
    <row r="129" spans="1:12" x14ac:dyDescent="0.25">
      <c r="A129">
        <v>2006</v>
      </c>
      <c r="B129" s="6">
        <f>SUM(B39:B50)</f>
        <v>953970698.78421855</v>
      </c>
      <c r="J129" s="6">
        <f>SUM(J39:J50)</f>
        <v>957371571.6830914</v>
      </c>
      <c r="K129" s="37">
        <f t="shared" si="7"/>
        <v>3400872.8988728523</v>
      </c>
      <c r="L129" s="5">
        <f t="shared" si="8"/>
        <v>3.5649657827091247E-3</v>
      </c>
    </row>
    <row r="130" spans="1:12" x14ac:dyDescent="0.25">
      <c r="A130" s="17">
        <v>2007</v>
      </c>
      <c r="B130" s="6">
        <f>SUM(B51:B62)</f>
        <v>961644869.70946431</v>
      </c>
      <c r="J130" s="6">
        <f>SUM(J51:J62)</f>
        <v>937594853.40169907</v>
      </c>
      <c r="K130" s="37">
        <f t="shared" si="7"/>
        <v>-24050016.307765245</v>
      </c>
      <c r="L130" s="5">
        <f t="shared" si="8"/>
        <v>-2.5009249324057983E-2</v>
      </c>
    </row>
    <row r="131" spans="1:12" x14ac:dyDescent="0.25">
      <c r="A131">
        <v>2008</v>
      </c>
      <c r="B131" s="6">
        <f>SUM(B63:B74)</f>
        <v>927527998.17815709</v>
      </c>
      <c r="J131" s="6">
        <f>SUM(J63:J74)</f>
        <v>933224206.6165415</v>
      </c>
      <c r="K131" s="37">
        <f t="shared" si="7"/>
        <v>5696208.4383844137</v>
      </c>
      <c r="L131" s="5">
        <f t="shared" si="8"/>
        <v>6.1412792385489813E-3</v>
      </c>
    </row>
    <row r="132" spans="1:12" x14ac:dyDescent="0.25">
      <c r="A132" s="17">
        <v>2009</v>
      </c>
      <c r="B132" s="6">
        <f>SUM(B75:B86)</f>
        <v>927527998.17815709</v>
      </c>
      <c r="J132" s="6" t="e">
        <f>SUM(J75:J86)</f>
        <v>#REF!</v>
      </c>
      <c r="K132" s="37" t="e">
        <f>J132-B132</f>
        <v>#REF!</v>
      </c>
      <c r="L132" s="5" t="e">
        <f>K132/B132</f>
        <v>#REF!</v>
      </c>
    </row>
    <row r="133" spans="1:12" x14ac:dyDescent="0.25">
      <c r="A133">
        <v>2010</v>
      </c>
      <c r="B133" s="6">
        <f>SUM(B87:B98)</f>
        <v>933396305.6367687</v>
      </c>
      <c r="J133" s="6" t="e">
        <f>SUM(J87:J98)</f>
        <v>#REF!</v>
      </c>
      <c r="K133" s="37" t="e">
        <f t="shared" si="7"/>
        <v>#REF!</v>
      </c>
      <c r="L133" s="5" t="e">
        <f t="shared" si="8"/>
        <v>#REF!</v>
      </c>
    </row>
    <row r="134" spans="1:12" x14ac:dyDescent="0.25">
      <c r="A134" s="17">
        <v>2011</v>
      </c>
      <c r="J134" s="6" t="e">
        <f>SUM(J99:J110)</f>
        <v>#REF!</v>
      </c>
      <c r="K134" s="37"/>
      <c r="L134" s="5"/>
    </row>
    <row r="135" spans="1:12" x14ac:dyDescent="0.25">
      <c r="A135" s="17">
        <v>2012</v>
      </c>
      <c r="J135" s="6">
        <f>SUM(J111:J122)</f>
        <v>937766535.74989736</v>
      </c>
    </row>
    <row r="136" spans="1:12" x14ac:dyDescent="0.25">
      <c r="J136" s="6"/>
    </row>
    <row r="137" spans="1:12" x14ac:dyDescent="0.25">
      <c r="A137" t="s">
        <v>79</v>
      </c>
      <c r="B137" s="6">
        <f>SUM(B126:B133)</f>
        <v>7576474819.9799757</v>
      </c>
      <c r="J137" s="6" t="e">
        <f>SUM(J126:J133)</f>
        <v>#REF!</v>
      </c>
      <c r="K137" s="6" t="e">
        <f>J137-B137</f>
        <v>#REF!</v>
      </c>
    </row>
    <row r="138" spans="1:12" x14ac:dyDescent="0.25">
      <c r="J138" s="6"/>
      <c r="K138" s="6"/>
    </row>
    <row r="139" spans="1:12" x14ac:dyDescent="0.25">
      <c r="J139" s="6" t="e">
        <f>SUM(J126:J134)</f>
        <v>#REF!</v>
      </c>
      <c r="K139" s="46" t="e">
        <f>J124-J139</f>
        <v>#REF!</v>
      </c>
    </row>
    <row r="140" spans="1:12" x14ac:dyDescent="0.25">
      <c r="J140" s="20"/>
      <c r="K140" s="20" t="s">
        <v>65</v>
      </c>
      <c r="L140" s="20"/>
    </row>
    <row r="152" spans="25:27" x14ac:dyDescent="0.25">
      <c r="Y152" s="11"/>
      <c r="Z152" s="11"/>
      <c r="AA152" s="11"/>
    </row>
  </sheetData>
  <pageMargins left="0.38" right="0.75" top="0.73" bottom="0.74" header="0.5" footer="0.5"/>
  <pageSetup orientation="landscape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AA218"/>
  <sheetViews>
    <sheetView view="pageBreakPreview" topLeftCell="D1" zoomScaleNormal="100" zoomScaleSheetLayoutView="100" workbookViewId="0">
      <selection activeCell="B205" sqref="B194:B205"/>
    </sheetView>
  </sheetViews>
  <sheetFormatPr defaultColWidth="9.33203125" defaultRowHeight="13.2" x14ac:dyDescent="0.25"/>
  <cols>
    <col min="2" max="2" width="15.44140625" style="32" customWidth="1"/>
    <col min="3" max="3" width="16" customWidth="1"/>
    <col min="4" max="4" width="14.6640625" customWidth="1"/>
    <col min="5" max="5" width="14.44140625" bestFit="1" customWidth="1"/>
    <col min="6" max="6" width="12.6640625" customWidth="1"/>
    <col min="7" max="9" width="4.6640625" customWidth="1"/>
    <col min="10" max="10" width="16.33203125" customWidth="1"/>
    <col min="11" max="11" width="13.33203125" bestFit="1" customWidth="1"/>
    <col min="12" max="17" width="10.33203125" bestFit="1" customWidth="1"/>
    <col min="18" max="18" width="11.6640625" bestFit="1" customWidth="1"/>
    <col min="19" max="23" width="11.33203125" bestFit="1" customWidth="1"/>
    <col min="24" max="24" width="11.44140625" bestFit="1" customWidth="1"/>
    <col min="25" max="25" width="12.6640625" bestFit="1" customWidth="1"/>
    <col min="26" max="27" width="11.33203125" bestFit="1" customWidth="1"/>
    <col min="243" max="243" width="14.44140625" customWidth="1"/>
    <col min="244" max="244" width="12.6640625" customWidth="1"/>
    <col min="245" max="245" width="11.6640625" customWidth="1"/>
    <col min="246" max="246" width="10.33203125" customWidth="1"/>
    <col min="247" max="247" width="12.6640625" customWidth="1"/>
    <col min="248" max="258" width="17.6640625" customWidth="1"/>
    <col min="259" max="259" width="13" bestFit="1" customWidth="1"/>
    <col min="260" max="260" width="12.6640625" bestFit="1" customWidth="1"/>
    <col min="262" max="262" width="14.33203125" bestFit="1" customWidth="1"/>
    <col min="268" max="268" width="12.6640625" bestFit="1" customWidth="1"/>
    <col min="269" max="269" width="10.33203125" bestFit="1" customWidth="1"/>
    <col min="270" max="270" width="13.6640625" bestFit="1" customWidth="1"/>
    <col min="271" max="271" width="10.33203125" bestFit="1" customWidth="1"/>
    <col min="272" max="272" width="11" customWidth="1"/>
    <col min="274" max="274" width="20.44140625" bestFit="1" customWidth="1"/>
    <col min="499" max="499" width="14.44140625" customWidth="1"/>
    <col min="500" max="500" width="12.6640625" customWidth="1"/>
    <col min="501" max="501" width="11.6640625" customWidth="1"/>
    <col min="502" max="502" width="10.33203125" customWidth="1"/>
    <col min="503" max="503" width="12.6640625" customWidth="1"/>
    <col min="504" max="514" width="17.6640625" customWidth="1"/>
    <col min="515" max="515" width="13" bestFit="1" customWidth="1"/>
    <col min="516" max="516" width="12.6640625" bestFit="1" customWidth="1"/>
    <col min="518" max="518" width="14.33203125" bestFit="1" customWidth="1"/>
    <col min="524" max="524" width="12.6640625" bestFit="1" customWidth="1"/>
    <col min="525" max="525" width="10.33203125" bestFit="1" customWidth="1"/>
    <col min="526" max="526" width="13.6640625" bestFit="1" customWidth="1"/>
    <col min="527" max="527" width="10.33203125" bestFit="1" customWidth="1"/>
    <col min="528" max="528" width="11" customWidth="1"/>
    <col min="530" max="530" width="20.44140625" bestFit="1" customWidth="1"/>
    <col min="755" max="755" width="14.44140625" customWidth="1"/>
    <col min="756" max="756" width="12.6640625" customWidth="1"/>
    <col min="757" max="757" width="11.6640625" customWidth="1"/>
    <col min="758" max="758" width="10.33203125" customWidth="1"/>
    <col min="759" max="759" width="12.6640625" customWidth="1"/>
    <col min="760" max="770" width="17.6640625" customWidth="1"/>
    <col min="771" max="771" width="13" bestFit="1" customWidth="1"/>
    <col min="772" max="772" width="12.6640625" bestFit="1" customWidth="1"/>
    <col min="774" max="774" width="14.33203125" bestFit="1" customWidth="1"/>
    <col min="780" max="780" width="12.6640625" bestFit="1" customWidth="1"/>
    <col min="781" max="781" width="10.33203125" bestFit="1" customWidth="1"/>
    <col min="782" max="782" width="13.6640625" bestFit="1" customWidth="1"/>
    <col min="783" max="783" width="10.33203125" bestFit="1" customWidth="1"/>
    <col min="784" max="784" width="11" customWidth="1"/>
    <col min="786" max="786" width="20.44140625" bestFit="1" customWidth="1"/>
    <col min="1011" max="1011" width="14.44140625" customWidth="1"/>
    <col min="1012" max="1012" width="12.6640625" customWidth="1"/>
    <col min="1013" max="1013" width="11.6640625" customWidth="1"/>
    <col min="1014" max="1014" width="10.33203125" customWidth="1"/>
    <col min="1015" max="1015" width="12.6640625" customWidth="1"/>
    <col min="1016" max="1026" width="17.6640625" customWidth="1"/>
    <col min="1027" max="1027" width="13" bestFit="1" customWidth="1"/>
    <col min="1028" max="1028" width="12.6640625" bestFit="1" customWidth="1"/>
    <col min="1030" max="1030" width="14.33203125" bestFit="1" customWidth="1"/>
    <col min="1036" max="1036" width="12.6640625" bestFit="1" customWidth="1"/>
    <col min="1037" max="1037" width="10.33203125" bestFit="1" customWidth="1"/>
    <col min="1038" max="1038" width="13.6640625" bestFit="1" customWidth="1"/>
    <col min="1039" max="1039" width="10.33203125" bestFit="1" customWidth="1"/>
    <col min="1040" max="1040" width="11" customWidth="1"/>
    <col min="1042" max="1042" width="20.44140625" bestFit="1" customWidth="1"/>
    <col min="1267" max="1267" width="14.44140625" customWidth="1"/>
    <col min="1268" max="1268" width="12.6640625" customWidth="1"/>
    <col min="1269" max="1269" width="11.6640625" customWidth="1"/>
    <col min="1270" max="1270" width="10.33203125" customWidth="1"/>
    <col min="1271" max="1271" width="12.6640625" customWidth="1"/>
    <col min="1272" max="1282" width="17.6640625" customWidth="1"/>
    <col min="1283" max="1283" width="13" bestFit="1" customWidth="1"/>
    <col min="1284" max="1284" width="12.6640625" bestFit="1" customWidth="1"/>
    <col min="1286" max="1286" width="14.33203125" bestFit="1" customWidth="1"/>
    <col min="1292" max="1292" width="12.6640625" bestFit="1" customWidth="1"/>
    <col min="1293" max="1293" width="10.33203125" bestFit="1" customWidth="1"/>
    <col min="1294" max="1294" width="13.6640625" bestFit="1" customWidth="1"/>
    <col min="1295" max="1295" width="10.33203125" bestFit="1" customWidth="1"/>
    <col min="1296" max="1296" width="11" customWidth="1"/>
    <col min="1298" max="1298" width="20.44140625" bestFit="1" customWidth="1"/>
    <col min="1523" max="1523" width="14.44140625" customWidth="1"/>
    <col min="1524" max="1524" width="12.6640625" customWidth="1"/>
    <col min="1525" max="1525" width="11.6640625" customWidth="1"/>
    <col min="1526" max="1526" width="10.33203125" customWidth="1"/>
    <col min="1527" max="1527" width="12.6640625" customWidth="1"/>
    <col min="1528" max="1538" width="17.6640625" customWidth="1"/>
    <col min="1539" max="1539" width="13" bestFit="1" customWidth="1"/>
    <col min="1540" max="1540" width="12.6640625" bestFit="1" customWidth="1"/>
    <col min="1542" max="1542" width="14.33203125" bestFit="1" customWidth="1"/>
    <col min="1548" max="1548" width="12.6640625" bestFit="1" customWidth="1"/>
    <col min="1549" max="1549" width="10.33203125" bestFit="1" customWidth="1"/>
    <col min="1550" max="1550" width="13.6640625" bestFit="1" customWidth="1"/>
    <col min="1551" max="1551" width="10.33203125" bestFit="1" customWidth="1"/>
    <col min="1552" max="1552" width="11" customWidth="1"/>
    <col min="1554" max="1554" width="20.44140625" bestFit="1" customWidth="1"/>
    <col min="1779" max="1779" width="14.44140625" customWidth="1"/>
    <col min="1780" max="1780" width="12.6640625" customWidth="1"/>
    <col min="1781" max="1781" width="11.6640625" customWidth="1"/>
    <col min="1782" max="1782" width="10.33203125" customWidth="1"/>
    <col min="1783" max="1783" width="12.6640625" customWidth="1"/>
    <col min="1784" max="1794" width="17.6640625" customWidth="1"/>
    <col min="1795" max="1795" width="13" bestFit="1" customWidth="1"/>
    <col min="1796" max="1796" width="12.6640625" bestFit="1" customWidth="1"/>
    <col min="1798" max="1798" width="14.33203125" bestFit="1" customWidth="1"/>
    <col min="1804" max="1804" width="12.6640625" bestFit="1" customWidth="1"/>
    <col min="1805" max="1805" width="10.33203125" bestFit="1" customWidth="1"/>
    <col min="1806" max="1806" width="13.6640625" bestFit="1" customWidth="1"/>
    <col min="1807" max="1807" width="10.33203125" bestFit="1" customWidth="1"/>
    <col min="1808" max="1808" width="11" customWidth="1"/>
    <col min="1810" max="1810" width="20.44140625" bestFit="1" customWidth="1"/>
    <col min="2035" max="2035" width="14.44140625" customWidth="1"/>
    <col min="2036" max="2036" width="12.6640625" customWidth="1"/>
    <col min="2037" max="2037" width="11.6640625" customWidth="1"/>
    <col min="2038" max="2038" width="10.33203125" customWidth="1"/>
    <col min="2039" max="2039" width="12.6640625" customWidth="1"/>
    <col min="2040" max="2050" width="17.6640625" customWidth="1"/>
    <col min="2051" max="2051" width="13" bestFit="1" customWidth="1"/>
    <col min="2052" max="2052" width="12.6640625" bestFit="1" customWidth="1"/>
    <col min="2054" max="2054" width="14.33203125" bestFit="1" customWidth="1"/>
    <col min="2060" max="2060" width="12.6640625" bestFit="1" customWidth="1"/>
    <col min="2061" max="2061" width="10.33203125" bestFit="1" customWidth="1"/>
    <col min="2062" max="2062" width="13.6640625" bestFit="1" customWidth="1"/>
    <col min="2063" max="2063" width="10.33203125" bestFit="1" customWidth="1"/>
    <col min="2064" max="2064" width="11" customWidth="1"/>
    <col min="2066" max="2066" width="20.44140625" bestFit="1" customWidth="1"/>
    <col min="2291" max="2291" width="14.44140625" customWidth="1"/>
    <col min="2292" max="2292" width="12.6640625" customWidth="1"/>
    <col min="2293" max="2293" width="11.6640625" customWidth="1"/>
    <col min="2294" max="2294" width="10.33203125" customWidth="1"/>
    <col min="2295" max="2295" width="12.6640625" customWidth="1"/>
    <col min="2296" max="2306" width="17.6640625" customWidth="1"/>
    <col min="2307" max="2307" width="13" bestFit="1" customWidth="1"/>
    <col min="2308" max="2308" width="12.6640625" bestFit="1" customWidth="1"/>
    <col min="2310" max="2310" width="14.33203125" bestFit="1" customWidth="1"/>
    <col min="2316" max="2316" width="12.6640625" bestFit="1" customWidth="1"/>
    <col min="2317" max="2317" width="10.33203125" bestFit="1" customWidth="1"/>
    <col min="2318" max="2318" width="13.6640625" bestFit="1" customWidth="1"/>
    <col min="2319" max="2319" width="10.33203125" bestFit="1" customWidth="1"/>
    <col min="2320" max="2320" width="11" customWidth="1"/>
    <col min="2322" max="2322" width="20.44140625" bestFit="1" customWidth="1"/>
    <col min="2547" max="2547" width="14.44140625" customWidth="1"/>
    <col min="2548" max="2548" width="12.6640625" customWidth="1"/>
    <col min="2549" max="2549" width="11.6640625" customWidth="1"/>
    <col min="2550" max="2550" width="10.33203125" customWidth="1"/>
    <col min="2551" max="2551" width="12.6640625" customWidth="1"/>
    <col min="2552" max="2562" width="17.6640625" customWidth="1"/>
    <col min="2563" max="2563" width="13" bestFit="1" customWidth="1"/>
    <col min="2564" max="2564" width="12.6640625" bestFit="1" customWidth="1"/>
    <col min="2566" max="2566" width="14.33203125" bestFit="1" customWidth="1"/>
    <col min="2572" max="2572" width="12.6640625" bestFit="1" customWidth="1"/>
    <col min="2573" max="2573" width="10.33203125" bestFit="1" customWidth="1"/>
    <col min="2574" max="2574" width="13.6640625" bestFit="1" customWidth="1"/>
    <col min="2575" max="2575" width="10.33203125" bestFit="1" customWidth="1"/>
    <col min="2576" max="2576" width="11" customWidth="1"/>
    <col min="2578" max="2578" width="20.44140625" bestFit="1" customWidth="1"/>
    <col min="2803" max="2803" width="14.44140625" customWidth="1"/>
    <col min="2804" max="2804" width="12.6640625" customWidth="1"/>
    <col min="2805" max="2805" width="11.6640625" customWidth="1"/>
    <col min="2806" max="2806" width="10.33203125" customWidth="1"/>
    <col min="2807" max="2807" width="12.6640625" customWidth="1"/>
    <col min="2808" max="2818" width="17.6640625" customWidth="1"/>
    <col min="2819" max="2819" width="13" bestFit="1" customWidth="1"/>
    <col min="2820" max="2820" width="12.6640625" bestFit="1" customWidth="1"/>
    <col min="2822" max="2822" width="14.33203125" bestFit="1" customWidth="1"/>
    <col min="2828" max="2828" width="12.6640625" bestFit="1" customWidth="1"/>
    <col min="2829" max="2829" width="10.33203125" bestFit="1" customWidth="1"/>
    <col min="2830" max="2830" width="13.6640625" bestFit="1" customWidth="1"/>
    <col min="2831" max="2831" width="10.33203125" bestFit="1" customWidth="1"/>
    <col min="2832" max="2832" width="11" customWidth="1"/>
    <col min="2834" max="2834" width="20.44140625" bestFit="1" customWidth="1"/>
    <col min="3059" max="3059" width="14.44140625" customWidth="1"/>
    <col min="3060" max="3060" width="12.6640625" customWidth="1"/>
    <col min="3061" max="3061" width="11.6640625" customWidth="1"/>
    <col min="3062" max="3062" width="10.33203125" customWidth="1"/>
    <col min="3063" max="3063" width="12.6640625" customWidth="1"/>
    <col min="3064" max="3074" width="17.6640625" customWidth="1"/>
    <col min="3075" max="3075" width="13" bestFit="1" customWidth="1"/>
    <col min="3076" max="3076" width="12.6640625" bestFit="1" customWidth="1"/>
    <col min="3078" max="3078" width="14.33203125" bestFit="1" customWidth="1"/>
    <col min="3084" max="3084" width="12.6640625" bestFit="1" customWidth="1"/>
    <col min="3085" max="3085" width="10.33203125" bestFit="1" customWidth="1"/>
    <col min="3086" max="3086" width="13.6640625" bestFit="1" customWidth="1"/>
    <col min="3087" max="3087" width="10.33203125" bestFit="1" customWidth="1"/>
    <col min="3088" max="3088" width="11" customWidth="1"/>
    <col min="3090" max="3090" width="20.44140625" bestFit="1" customWidth="1"/>
    <col min="3315" max="3315" width="14.44140625" customWidth="1"/>
    <col min="3316" max="3316" width="12.6640625" customWidth="1"/>
    <col min="3317" max="3317" width="11.6640625" customWidth="1"/>
    <col min="3318" max="3318" width="10.33203125" customWidth="1"/>
    <col min="3319" max="3319" width="12.6640625" customWidth="1"/>
    <col min="3320" max="3330" width="17.6640625" customWidth="1"/>
    <col min="3331" max="3331" width="13" bestFit="1" customWidth="1"/>
    <col min="3332" max="3332" width="12.6640625" bestFit="1" customWidth="1"/>
    <col min="3334" max="3334" width="14.33203125" bestFit="1" customWidth="1"/>
    <col min="3340" max="3340" width="12.6640625" bestFit="1" customWidth="1"/>
    <col min="3341" max="3341" width="10.33203125" bestFit="1" customWidth="1"/>
    <col min="3342" max="3342" width="13.6640625" bestFit="1" customWidth="1"/>
    <col min="3343" max="3343" width="10.33203125" bestFit="1" customWidth="1"/>
    <col min="3344" max="3344" width="11" customWidth="1"/>
    <col min="3346" max="3346" width="20.44140625" bestFit="1" customWidth="1"/>
    <col min="3571" max="3571" width="14.44140625" customWidth="1"/>
    <col min="3572" max="3572" width="12.6640625" customWidth="1"/>
    <col min="3573" max="3573" width="11.6640625" customWidth="1"/>
    <col min="3574" max="3574" width="10.33203125" customWidth="1"/>
    <col min="3575" max="3575" width="12.6640625" customWidth="1"/>
    <col min="3576" max="3586" width="17.6640625" customWidth="1"/>
    <col min="3587" max="3587" width="13" bestFit="1" customWidth="1"/>
    <col min="3588" max="3588" width="12.6640625" bestFit="1" customWidth="1"/>
    <col min="3590" max="3590" width="14.33203125" bestFit="1" customWidth="1"/>
    <col min="3596" max="3596" width="12.6640625" bestFit="1" customWidth="1"/>
    <col min="3597" max="3597" width="10.33203125" bestFit="1" customWidth="1"/>
    <col min="3598" max="3598" width="13.6640625" bestFit="1" customWidth="1"/>
    <col min="3599" max="3599" width="10.33203125" bestFit="1" customWidth="1"/>
    <col min="3600" max="3600" width="11" customWidth="1"/>
    <col min="3602" max="3602" width="20.44140625" bestFit="1" customWidth="1"/>
    <col min="3827" max="3827" width="14.44140625" customWidth="1"/>
    <col min="3828" max="3828" width="12.6640625" customWidth="1"/>
    <col min="3829" max="3829" width="11.6640625" customWidth="1"/>
    <col min="3830" max="3830" width="10.33203125" customWidth="1"/>
    <col min="3831" max="3831" width="12.6640625" customWidth="1"/>
    <col min="3832" max="3842" width="17.6640625" customWidth="1"/>
    <col min="3843" max="3843" width="13" bestFit="1" customWidth="1"/>
    <col min="3844" max="3844" width="12.6640625" bestFit="1" customWidth="1"/>
    <col min="3846" max="3846" width="14.33203125" bestFit="1" customWidth="1"/>
    <col min="3852" max="3852" width="12.6640625" bestFit="1" customWidth="1"/>
    <col min="3853" max="3853" width="10.33203125" bestFit="1" customWidth="1"/>
    <col min="3854" max="3854" width="13.6640625" bestFit="1" customWidth="1"/>
    <col min="3855" max="3855" width="10.33203125" bestFit="1" customWidth="1"/>
    <col min="3856" max="3856" width="11" customWidth="1"/>
    <col min="3858" max="3858" width="20.44140625" bestFit="1" customWidth="1"/>
    <col min="4083" max="4083" width="14.44140625" customWidth="1"/>
    <col min="4084" max="4084" width="12.6640625" customWidth="1"/>
    <col min="4085" max="4085" width="11.6640625" customWidth="1"/>
    <col min="4086" max="4086" width="10.33203125" customWidth="1"/>
    <col min="4087" max="4087" width="12.6640625" customWidth="1"/>
    <col min="4088" max="4098" width="17.6640625" customWidth="1"/>
    <col min="4099" max="4099" width="13" bestFit="1" customWidth="1"/>
    <col min="4100" max="4100" width="12.6640625" bestFit="1" customWidth="1"/>
    <col min="4102" max="4102" width="14.33203125" bestFit="1" customWidth="1"/>
    <col min="4108" max="4108" width="12.6640625" bestFit="1" customWidth="1"/>
    <col min="4109" max="4109" width="10.33203125" bestFit="1" customWidth="1"/>
    <col min="4110" max="4110" width="13.6640625" bestFit="1" customWidth="1"/>
    <col min="4111" max="4111" width="10.33203125" bestFit="1" customWidth="1"/>
    <col min="4112" max="4112" width="11" customWidth="1"/>
    <col min="4114" max="4114" width="20.44140625" bestFit="1" customWidth="1"/>
    <col min="4339" max="4339" width="14.44140625" customWidth="1"/>
    <col min="4340" max="4340" width="12.6640625" customWidth="1"/>
    <col min="4341" max="4341" width="11.6640625" customWidth="1"/>
    <col min="4342" max="4342" width="10.33203125" customWidth="1"/>
    <col min="4343" max="4343" width="12.6640625" customWidth="1"/>
    <col min="4344" max="4354" width="17.6640625" customWidth="1"/>
    <col min="4355" max="4355" width="13" bestFit="1" customWidth="1"/>
    <col min="4356" max="4356" width="12.6640625" bestFit="1" customWidth="1"/>
    <col min="4358" max="4358" width="14.33203125" bestFit="1" customWidth="1"/>
    <col min="4364" max="4364" width="12.6640625" bestFit="1" customWidth="1"/>
    <col min="4365" max="4365" width="10.33203125" bestFit="1" customWidth="1"/>
    <col min="4366" max="4366" width="13.6640625" bestFit="1" customWidth="1"/>
    <col min="4367" max="4367" width="10.33203125" bestFit="1" customWidth="1"/>
    <col min="4368" max="4368" width="11" customWidth="1"/>
    <col min="4370" max="4370" width="20.44140625" bestFit="1" customWidth="1"/>
    <col min="4595" max="4595" width="14.44140625" customWidth="1"/>
    <col min="4596" max="4596" width="12.6640625" customWidth="1"/>
    <col min="4597" max="4597" width="11.6640625" customWidth="1"/>
    <col min="4598" max="4598" width="10.33203125" customWidth="1"/>
    <col min="4599" max="4599" width="12.6640625" customWidth="1"/>
    <col min="4600" max="4610" width="17.6640625" customWidth="1"/>
    <col min="4611" max="4611" width="13" bestFit="1" customWidth="1"/>
    <col min="4612" max="4612" width="12.6640625" bestFit="1" customWidth="1"/>
    <col min="4614" max="4614" width="14.33203125" bestFit="1" customWidth="1"/>
    <col min="4620" max="4620" width="12.6640625" bestFit="1" customWidth="1"/>
    <col min="4621" max="4621" width="10.33203125" bestFit="1" customWidth="1"/>
    <col min="4622" max="4622" width="13.6640625" bestFit="1" customWidth="1"/>
    <col min="4623" max="4623" width="10.33203125" bestFit="1" customWidth="1"/>
    <col min="4624" max="4624" width="11" customWidth="1"/>
    <col min="4626" max="4626" width="20.44140625" bestFit="1" customWidth="1"/>
    <col min="4851" max="4851" width="14.44140625" customWidth="1"/>
    <col min="4852" max="4852" width="12.6640625" customWidth="1"/>
    <col min="4853" max="4853" width="11.6640625" customWidth="1"/>
    <col min="4854" max="4854" width="10.33203125" customWidth="1"/>
    <col min="4855" max="4855" width="12.6640625" customWidth="1"/>
    <col min="4856" max="4866" width="17.6640625" customWidth="1"/>
    <col min="4867" max="4867" width="13" bestFit="1" customWidth="1"/>
    <col min="4868" max="4868" width="12.6640625" bestFit="1" customWidth="1"/>
    <col min="4870" max="4870" width="14.33203125" bestFit="1" customWidth="1"/>
    <col min="4876" max="4876" width="12.6640625" bestFit="1" customWidth="1"/>
    <col min="4877" max="4877" width="10.33203125" bestFit="1" customWidth="1"/>
    <col min="4878" max="4878" width="13.6640625" bestFit="1" customWidth="1"/>
    <col min="4879" max="4879" width="10.33203125" bestFit="1" customWidth="1"/>
    <col min="4880" max="4880" width="11" customWidth="1"/>
    <col min="4882" max="4882" width="20.44140625" bestFit="1" customWidth="1"/>
    <col min="5107" max="5107" width="14.44140625" customWidth="1"/>
    <col min="5108" max="5108" width="12.6640625" customWidth="1"/>
    <col min="5109" max="5109" width="11.6640625" customWidth="1"/>
    <col min="5110" max="5110" width="10.33203125" customWidth="1"/>
    <col min="5111" max="5111" width="12.6640625" customWidth="1"/>
    <col min="5112" max="5122" width="17.6640625" customWidth="1"/>
    <col min="5123" max="5123" width="13" bestFit="1" customWidth="1"/>
    <col min="5124" max="5124" width="12.6640625" bestFit="1" customWidth="1"/>
    <col min="5126" max="5126" width="14.33203125" bestFit="1" customWidth="1"/>
    <col min="5132" max="5132" width="12.6640625" bestFit="1" customWidth="1"/>
    <col min="5133" max="5133" width="10.33203125" bestFit="1" customWidth="1"/>
    <col min="5134" max="5134" width="13.6640625" bestFit="1" customWidth="1"/>
    <col min="5135" max="5135" width="10.33203125" bestFit="1" customWidth="1"/>
    <col min="5136" max="5136" width="11" customWidth="1"/>
    <col min="5138" max="5138" width="20.44140625" bestFit="1" customWidth="1"/>
    <col min="5363" max="5363" width="14.44140625" customWidth="1"/>
    <col min="5364" max="5364" width="12.6640625" customWidth="1"/>
    <col min="5365" max="5365" width="11.6640625" customWidth="1"/>
    <col min="5366" max="5366" width="10.33203125" customWidth="1"/>
    <col min="5367" max="5367" width="12.6640625" customWidth="1"/>
    <col min="5368" max="5378" width="17.6640625" customWidth="1"/>
    <col min="5379" max="5379" width="13" bestFit="1" customWidth="1"/>
    <col min="5380" max="5380" width="12.6640625" bestFit="1" customWidth="1"/>
    <col min="5382" max="5382" width="14.33203125" bestFit="1" customWidth="1"/>
    <col min="5388" max="5388" width="12.6640625" bestFit="1" customWidth="1"/>
    <col min="5389" max="5389" width="10.33203125" bestFit="1" customWidth="1"/>
    <col min="5390" max="5390" width="13.6640625" bestFit="1" customWidth="1"/>
    <col min="5391" max="5391" width="10.33203125" bestFit="1" customWidth="1"/>
    <col min="5392" max="5392" width="11" customWidth="1"/>
    <col min="5394" max="5394" width="20.44140625" bestFit="1" customWidth="1"/>
    <col min="5619" max="5619" width="14.44140625" customWidth="1"/>
    <col min="5620" max="5620" width="12.6640625" customWidth="1"/>
    <col min="5621" max="5621" width="11.6640625" customWidth="1"/>
    <col min="5622" max="5622" width="10.33203125" customWidth="1"/>
    <col min="5623" max="5623" width="12.6640625" customWidth="1"/>
    <col min="5624" max="5634" width="17.6640625" customWidth="1"/>
    <col min="5635" max="5635" width="13" bestFit="1" customWidth="1"/>
    <col min="5636" max="5636" width="12.6640625" bestFit="1" customWidth="1"/>
    <col min="5638" max="5638" width="14.33203125" bestFit="1" customWidth="1"/>
    <col min="5644" max="5644" width="12.6640625" bestFit="1" customWidth="1"/>
    <col min="5645" max="5645" width="10.33203125" bestFit="1" customWidth="1"/>
    <col min="5646" max="5646" width="13.6640625" bestFit="1" customWidth="1"/>
    <col min="5647" max="5647" width="10.33203125" bestFit="1" customWidth="1"/>
    <col min="5648" max="5648" width="11" customWidth="1"/>
    <col min="5650" max="5650" width="20.44140625" bestFit="1" customWidth="1"/>
    <col min="5875" max="5875" width="14.44140625" customWidth="1"/>
    <col min="5876" max="5876" width="12.6640625" customWidth="1"/>
    <col min="5877" max="5877" width="11.6640625" customWidth="1"/>
    <col min="5878" max="5878" width="10.33203125" customWidth="1"/>
    <col min="5879" max="5879" width="12.6640625" customWidth="1"/>
    <col min="5880" max="5890" width="17.6640625" customWidth="1"/>
    <col min="5891" max="5891" width="13" bestFit="1" customWidth="1"/>
    <col min="5892" max="5892" width="12.6640625" bestFit="1" customWidth="1"/>
    <col min="5894" max="5894" width="14.33203125" bestFit="1" customWidth="1"/>
    <col min="5900" max="5900" width="12.6640625" bestFit="1" customWidth="1"/>
    <col min="5901" max="5901" width="10.33203125" bestFit="1" customWidth="1"/>
    <col min="5902" max="5902" width="13.6640625" bestFit="1" customWidth="1"/>
    <col min="5903" max="5903" width="10.33203125" bestFit="1" customWidth="1"/>
    <col min="5904" max="5904" width="11" customWidth="1"/>
    <col min="5906" max="5906" width="20.44140625" bestFit="1" customWidth="1"/>
    <col min="6131" max="6131" width="14.44140625" customWidth="1"/>
    <col min="6132" max="6132" width="12.6640625" customWidth="1"/>
    <col min="6133" max="6133" width="11.6640625" customWidth="1"/>
    <col min="6134" max="6134" width="10.33203125" customWidth="1"/>
    <col min="6135" max="6135" width="12.6640625" customWidth="1"/>
    <col min="6136" max="6146" width="17.6640625" customWidth="1"/>
    <col min="6147" max="6147" width="13" bestFit="1" customWidth="1"/>
    <col min="6148" max="6148" width="12.6640625" bestFit="1" customWidth="1"/>
    <col min="6150" max="6150" width="14.33203125" bestFit="1" customWidth="1"/>
    <col min="6156" max="6156" width="12.6640625" bestFit="1" customWidth="1"/>
    <col min="6157" max="6157" width="10.33203125" bestFit="1" customWidth="1"/>
    <col min="6158" max="6158" width="13.6640625" bestFit="1" customWidth="1"/>
    <col min="6159" max="6159" width="10.33203125" bestFit="1" customWidth="1"/>
    <col min="6160" max="6160" width="11" customWidth="1"/>
    <col min="6162" max="6162" width="20.44140625" bestFit="1" customWidth="1"/>
    <col min="6387" max="6387" width="14.44140625" customWidth="1"/>
    <col min="6388" max="6388" width="12.6640625" customWidth="1"/>
    <col min="6389" max="6389" width="11.6640625" customWidth="1"/>
    <col min="6390" max="6390" width="10.33203125" customWidth="1"/>
    <col min="6391" max="6391" width="12.6640625" customWidth="1"/>
    <col min="6392" max="6402" width="17.6640625" customWidth="1"/>
    <col min="6403" max="6403" width="13" bestFit="1" customWidth="1"/>
    <col min="6404" max="6404" width="12.6640625" bestFit="1" customWidth="1"/>
    <col min="6406" max="6406" width="14.33203125" bestFit="1" customWidth="1"/>
    <col min="6412" max="6412" width="12.6640625" bestFit="1" customWidth="1"/>
    <col min="6413" max="6413" width="10.33203125" bestFit="1" customWidth="1"/>
    <col min="6414" max="6414" width="13.6640625" bestFit="1" customWidth="1"/>
    <col min="6415" max="6415" width="10.33203125" bestFit="1" customWidth="1"/>
    <col min="6416" max="6416" width="11" customWidth="1"/>
    <col min="6418" max="6418" width="20.44140625" bestFit="1" customWidth="1"/>
    <col min="6643" max="6643" width="14.44140625" customWidth="1"/>
    <col min="6644" max="6644" width="12.6640625" customWidth="1"/>
    <col min="6645" max="6645" width="11.6640625" customWidth="1"/>
    <col min="6646" max="6646" width="10.33203125" customWidth="1"/>
    <col min="6647" max="6647" width="12.6640625" customWidth="1"/>
    <col min="6648" max="6658" width="17.6640625" customWidth="1"/>
    <col min="6659" max="6659" width="13" bestFit="1" customWidth="1"/>
    <col min="6660" max="6660" width="12.6640625" bestFit="1" customWidth="1"/>
    <col min="6662" max="6662" width="14.33203125" bestFit="1" customWidth="1"/>
    <col min="6668" max="6668" width="12.6640625" bestFit="1" customWidth="1"/>
    <col min="6669" max="6669" width="10.33203125" bestFit="1" customWidth="1"/>
    <col min="6670" max="6670" width="13.6640625" bestFit="1" customWidth="1"/>
    <col min="6671" max="6671" width="10.33203125" bestFit="1" customWidth="1"/>
    <col min="6672" max="6672" width="11" customWidth="1"/>
    <col min="6674" max="6674" width="20.44140625" bestFit="1" customWidth="1"/>
    <col min="6899" max="6899" width="14.44140625" customWidth="1"/>
    <col min="6900" max="6900" width="12.6640625" customWidth="1"/>
    <col min="6901" max="6901" width="11.6640625" customWidth="1"/>
    <col min="6902" max="6902" width="10.33203125" customWidth="1"/>
    <col min="6903" max="6903" width="12.6640625" customWidth="1"/>
    <col min="6904" max="6914" width="17.6640625" customWidth="1"/>
    <col min="6915" max="6915" width="13" bestFit="1" customWidth="1"/>
    <col min="6916" max="6916" width="12.6640625" bestFit="1" customWidth="1"/>
    <col min="6918" max="6918" width="14.33203125" bestFit="1" customWidth="1"/>
    <col min="6924" max="6924" width="12.6640625" bestFit="1" customWidth="1"/>
    <col min="6925" max="6925" width="10.33203125" bestFit="1" customWidth="1"/>
    <col min="6926" max="6926" width="13.6640625" bestFit="1" customWidth="1"/>
    <col min="6927" max="6927" width="10.33203125" bestFit="1" customWidth="1"/>
    <col min="6928" max="6928" width="11" customWidth="1"/>
    <col min="6930" max="6930" width="20.44140625" bestFit="1" customWidth="1"/>
    <col min="7155" max="7155" width="14.44140625" customWidth="1"/>
    <col min="7156" max="7156" width="12.6640625" customWidth="1"/>
    <col min="7157" max="7157" width="11.6640625" customWidth="1"/>
    <col min="7158" max="7158" width="10.33203125" customWidth="1"/>
    <col min="7159" max="7159" width="12.6640625" customWidth="1"/>
    <col min="7160" max="7170" width="17.6640625" customWidth="1"/>
    <col min="7171" max="7171" width="13" bestFit="1" customWidth="1"/>
    <col min="7172" max="7172" width="12.6640625" bestFit="1" customWidth="1"/>
    <col min="7174" max="7174" width="14.33203125" bestFit="1" customWidth="1"/>
    <col min="7180" max="7180" width="12.6640625" bestFit="1" customWidth="1"/>
    <col min="7181" max="7181" width="10.33203125" bestFit="1" customWidth="1"/>
    <col min="7182" max="7182" width="13.6640625" bestFit="1" customWidth="1"/>
    <col min="7183" max="7183" width="10.33203125" bestFit="1" customWidth="1"/>
    <col min="7184" max="7184" width="11" customWidth="1"/>
    <col min="7186" max="7186" width="20.44140625" bestFit="1" customWidth="1"/>
    <col min="7411" max="7411" width="14.44140625" customWidth="1"/>
    <col min="7412" max="7412" width="12.6640625" customWidth="1"/>
    <col min="7413" max="7413" width="11.6640625" customWidth="1"/>
    <col min="7414" max="7414" width="10.33203125" customWidth="1"/>
    <col min="7415" max="7415" width="12.6640625" customWidth="1"/>
    <col min="7416" max="7426" width="17.6640625" customWidth="1"/>
    <col min="7427" max="7427" width="13" bestFit="1" customWidth="1"/>
    <col min="7428" max="7428" width="12.6640625" bestFit="1" customWidth="1"/>
    <col min="7430" max="7430" width="14.33203125" bestFit="1" customWidth="1"/>
    <col min="7436" max="7436" width="12.6640625" bestFit="1" customWidth="1"/>
    <col min="7437" max="7437" width="10.33203125" bestFit="1" customWidth="1"/>
    <col min="7438" max="7438" width="13.6640625" bestFit="1" customWidth="1"/>
    <col min="7439" max="7439" width="10.33203125" bestFit="1" customWidth="1"/>
    <col min="7440" max="7440" width="11" customWidth="1"/>
    <col min="7442" max="7442" width="20.44140625" bestFit="1" customWidth="1"/>
    <col min="7667" max="7667" width="14.44140625" customWidth="1"/>
    <col min="7668" max="7668" width="12.6640625" customWidth="1"/>
    <col min="7669" max="7669" width="11.6640625" customWidth="1"/>
    <col min="7670" max="7670" width="10.33203125" customWidth="1"/>
    <col min="7671" max="7671" width="12.6640625" customWidth="1"/>
    <col min="7672" max="7682" width="17.6640625" customWidth="1"/>
    <col min="7683" max="7683" width="13" bestFit="1" customWidth="1"/>
    <col min="7684" max="7684" width="12.6640625" bestFit="1" customWidth="1"/>
    <col min="7686" max="7686" width="14.33203125" bestFit="1" customWidth="1"/>
    <col min="7692" max="7692" width="12.6640625" bestFit="1" customWidth="1"/>
    <col min="7693" max="7693" width="10.33203125" bestFit="1" customWidth="1"/>
    <col min="7694" max="7694" width="13.6640625" bestFit="1" customWidth="1"/>
    <col min="7695" max="7695" width="10.33203125" bestFit="1" customWidth="1"/>
    <col min="7696" max="7696" width="11" customWidth="1"/>
    <col min="7698" max="7698" width="20.44140625" bestFit="1" customWidth="1"/>
    <col min="7923" max="7923" width="14.44140625" customWidth="1"/>
    <col min="7924" max="7924" width="12.6640625" customWidth="1"/>
    <col min="7925" max="7925" width="11.6640625" customWidth="1"/>
    <col min="7926" max="7926" width="10.33203125" customWidth="1"/>
    <col min="7927" max="7927" width="12.6640625" customWidth="1"/>
    <col min="7928" max="7938" width="17.6640625" customWidth="1"/>
    <col min="7939" max="7939" width="13" bestFit="1" customWidth="1"/>
    <col min="7940" max="7940" width="12.6640625" bestFit="1" customWidth="1"/>
    <col min="7942" max="7942" width="14.33203125" bestFit="1" customWidth="1"/>
    <col min="7948" max="7948" width="12.6640625" bestFit="1" customWidth="1"/>
    <col min="7949" max="7949" width="10.33203125" bestFit="1" customWidth="1"/>
    <col min="7950" max="7950" width="13.6640625" bestFit="1" customWidth="1"/>
    <col min="7951" max="7951" width="10.33203125" bestFit="1" customWidth="1"/>
    <col min="7952" max="7952" width="11" customWidth="1"/>
    <col min="7954" max="7954" width="20.44140625" bestFit="1" customWidth="1"/>
    <col min="8179" max="8179" width="14.44140625" customWidth="1"/>
    <col min="8180" max="8180" width="12.6640625" customWidth="1"/>
    <col min="8181" max="8181" width="11.6640625" customWidth="1"/>
    <col min="8182" max="8182" width="10.33203125" customWidth="1"/>
    <col min="8183" max="8183" width="12.6640625" customWidth="1"/>
    <col min="8184" max="8194" width="17.6640625" customWidth="1"/>
    <col min="8195" max="8195" width="13" bestFit="1" customWidth="1"/>
    <col min="8196" max="8196" width="12.6640625" bestFit="1" customWidth="1"/>
    <col min="8198" max="8198" width="14.33203125" bestFit="1" customWidth="1"/>
    <col min="8204" max="8204" width="12.6640625" bestFit="1" customWidth="1"/>
    <col min="8205" max="8205" width="10.33203125" bestFit="1" customWidth="1"/>
    <col min="8206" max="8206" width="13.6640625" bestFit="1" customWidth="1"/>
    <col min="8207" max="8207" width="10.33203125" bestFit="1" customWidth="1"/>
    <col min="8208" max="8208" width="11" customWidth="1"/>
    <col min="8210" max="8210" width="20.44140625" bestFit="1" customWidth="1"/>
    <col min="8435" max="8435" width="14.44140625" customWidth="1"/>
    <col min="8436" max="8436" width="12.6640625" customWidth="1"/>
    <col min="8437" max="8437" width="11.6640625" customWidth="1"/>
    <col min="8438" max="8438" width="10.33203125" customWidth="1"/>
    <col min="8439" max="8439" width="12.6640625" customWidth="1"/>
    <col min="8440" max="8450" width="17.6640625" customWidth="1"/>
    <col min="8451" max="8451" width="13" bestFit="1" customWidth="1"/>
    <col min="8452" max="8452" width="12.6640625" bestFit="1" customWidth="1"/>
    <col min="8454" max="8454" width="14.33203125" bestFit="1" customWidth="1"/>
    <col min="8460" max="8460" width="12.6640625" bestFit="1" customWidth="1"/>
    <col min="8461" max="8461" width="10.33203125" bestFit="1" customWidth="1"/>
    <col min="8462" max="8462" width="13.6640625" bestFit="1" customWidth="1"/>
    <col min="8463" max="8463" width="10.33203125" bestFit="1" customWidth="1"/>
    <col min="8464" max="8464" width="11" customWidth="1"/>
    <col min="8466" max="8466" width="20.44140625" bestFit="1" customWidth="1"/>
    <col min="8691" max="8691" width="14.44140625" customWidth="1"/>
    <col min="8692" max="8692" width="12.6640625" customWidth="1"/>
    <col min="8693" max="8693" width="11.6640625" customWidth="1"/>
    <col min="8694" max="8694" width="10.33203125" customWidth="1"/>
    <col min="8695" max="8695" width="12.6640625" customWidth="1"/>
    <col min="8696" max="8706" width="17.6640625" customWidth="1"/>
    <col min="8707" max="8707" width="13" bestFit="1" customWidth="1"/>
    <col min="8708" max="8708" width="12.6640625" bestFit="1" customWidth="1"/>
    <col min="8710" max="8710" width="14.33203125" bestFit="1" customWidth="1"/>
    <col min="8716" max="8716" width="12.6640625" bestFit="1" customWidth="1"/>
    <col min="8717" max="8717" width="10.33203125" bestFit="1" customWidth="1"/>
    <col min="8718" max="8718" width="13.6640625" bestFit="1" customWidth="1"/>
    <col min="8719" max="8719" width="10.33203125" bestFit="1" customWidth="1"/>
    <col min="8720" max="8720" width="11" customWidth="1"/>
    <col min="8722" max="8722" width="20.44140625" bestFit="1" customWidth="1"/>
    <col min="8947" max="8947" width="14.44140625" customWidth="1"/>
    <col min="8948" max="8948" width="12.6640625" customWidth="1"/>
    <col min="8949" max="8949" width="11.6640625" customWidth="1"/>
    <col min="8950" max="8950" width="10.33203125" customWidth="1"/>
    <col min="8951" max="8951" width="12.6640625" customWidth="1"/>
    <col min="8952" max="8962" width="17.6640625" customWidth="1"/>
    <col min="8963" max="8963" width="13" bestFit="1" customWidth="1"/>
    <col min="8964" max="8964" width="12.6640625" bestFit="1" customWidth="1"/>
    <col min="8966" max="8966" width="14.33203125" bestFit="1" customWidth="1"/>
    <col min="8972" max="8972" width="12.6640625" bestFit="1" customWidth="1"/>
    <col min="8973" max="8973" width="10.33203125" bestFit="1" customWidth="1"/>
    <col min="8974" max="8974" width="13.6640625" bestFit="1" customWidth="1"/>
    <col min="8975" max="8975" width="10.33203125" bestFit="1" customWidth="1"/>
    <col min="8976" max="8976" width="11" customWidth="1"/>
    <col min="8978" max="8978" width="20.44140625" bestFit="1" customWidth="1"/>
    <col min="9203" max="9203" width="14.44140625" customWidth="1"/>
    <col min="9204" max="9204" width="12.6640625" customWidth="1"/>
    <col min="9205" max="9205" width="11.6640625" customWidth="1"/>
    <col min="9206" max="9206" width="10.33203125" customWidth="1"/>
    <col min="9207" max="9207" width="12.6640625" customWidth="1"/>
    <col min="9208" max="9218" width="17.6640625" customWidth="1"/>
    <col min="9219" max="9219" width="13" bestFit="1" customWidth="1"/>
    <col min="9220" max="9220" width="12.6640625" bestFit="1" customWidth="1"/>
    <col min="9222" max="9222" width="14.33203125" bestFit="1" customWidth="1"/>
    <col min="9228" max="9228" width="12.6640625" bestFit="1" customWidth="1"/>
    <col min="9229" max="9229" width="10.33203125" bestFit="1" customWidth="1"/>
    <col min="9230" max="9230" width="13.6640625" bestFit="1" customWidth="1"/>
    <col min="9231" max="9231" width="10.33203125" bestFit="1" customWidth="1"/>
    <col min="9232" max="9232" width="11" customWidth="1"/>
    <col min="9234" max="9234" width="20.44140625" bestFit="1" customWidth="1"/>
    <col min="9459" max="9459" width="14.44140625" customWidth="1"/>
    <col min="9460" max="9460" width="12.6640625" customWidth="1"/>
    <col min="9461" max="9461" width="11.6640625" customWidth="1"/>
    <col min="9462" max="9462" width="10.33203125" customWidth="1"/>
    <col min="9463" max="9463" width="12.6640625" customWidth="1"/>
    <col min="9464" max="9474" width="17.6640625" customWidth="1"/>
    <col min="9475" max="9475" width="13" bestFit="1" customWidth="1"/>
    <col min="9476" max="9476" width="12.6640625" bestFit="1" customWidth="1"/>
    <col min="9478" max="9478" width="14.33203125" bestFit="1" customWidth="1"/>
    <col min="9484" max="9484" width="12.6640625" bestFit="1" customWidth="1"/>
    <col min="9485" max="9485" width="10.33203125" bestFit="1" customWidth="1"/>
    <col min="9486" max="9486" width="13.6640625" bestFit="1" customWidth="1"/>
    <col min="9487" max="9487" width="10.33203125" bestFit="1" customWidth="1"/>
    <col min="9488" max="9488" width="11" customWidth="1"/>
    <col min="9490" max="9490" width="20.44140625" bestFit="1" customWidth="1"/>
    <col min="9715" max="9715" width="14.44140625" customWidth="1"/>
    <col min="9716" max="9716" width="12.6640625" customWidth="1"/>
    <col min="9717" max="9717" width="11.6640625" customWidth="1"/>
    <col min="9718" max="9718" width="10.33203125" customWidth="1"/>
    <col min="9719" max="9719" width="12.6640625" customWidth="1"/>
    <col min="9720" max="9730" width="17.6640625" customWidth="1"/>
    <col min="9731" max="9731" width="13" bestFit="1" customWidth="1"/>
    <col min="9732" max="9732" width="12.6640625" bestFit="1" customWidth="1"/>
    <col min="9734" max="9734" width="14.33203125" bestFit="1" customWidth="1"/>
    <col min="9740" max="9740" width="12.6640625" bestFit="1" customWidth="1"/>
    <col min="9741" max="9741" width="10.33203125" bestFit="1" customWidth="1"/>
    <col min="9742" max="9742" width="13.6640625" bestFit="1" customWidth="1"/>
    <col min="9743" max="9743" width="10.33203125" bestFit="1" customWidth="1"/>
    <col min="9744" max="9744" width="11" customWidth="1"/>
    <col min="9746" max="9746" width="20.44140625" bestFit="1" customWidth="1"/>
    <col min="9971" max="9971" width="14.44140625" customWidth="1"/>
    <col min="9972" max="9972" width="12.6640625" customWidth="1"/>
    <col min="9973" max="9973" width="11.6640625" customWidth="1"/>
    <col min="9974" max="9974" width="10.33203125" customWidth="1"/>
    <col min="9975" max="9975" width="12.6640625" customWidth="1"/>
    <col min="9976" max="9986" width="17.6640625" customWidth="1"/>
    <col min="9987" max="9987" width="13" bestFit="1" customWidth="1"/>
    <col min="9988" max="9988" width="12.6640625" bestFit="1" customWidth="1"/>
    <col min="9990" max="9990" width="14.33203125" bestFit="1" customWidth="1"/>
    <col min="9996" max="9996" width="12.6640625" bestFit="1" customWidth="1"/>
    <col min="9997" max="9997" width="10.33203125" bestFit="1" customWidth="1"/>
    <col min="9998" max="9998" width="13.6640625" bestFit="1" customWidth="1"/>
    <col min="9999" max="9999" width="10.33203125" bestFit="1" customWidth="1"/>
    <col min="10000" max="10000" width="11" customWidth="1"/>
    <col min="10002" max="10002" width="20.44140625" bestFit="1" customWidth="1"/>
    <col min="10227" max="10227" width="14.44140625" customWidth="1"/>
    <col min="10228" max="10228" width="12.6640625" customWidth="1"/>
    <col min="10229" max="10229" width="11.6640625" customWidth="1"/>
    <col min="10230" max="10230" width="10.33203125" customWidth="1"/>
    <col min="10231" max="10231" width="12.6640625" customWidth="1"/>
    <col min="10232" max="10242" width="17.6640625" customWidth="1"/>
    <col min="10243" max="10243" width="13" bestFit="1" customWidth="1"/>
    <col min="10244" max="10244" width="12.6640625" bestFit="1" customWidth="1"/>
    <col min="10246" max="10246" width="14.33203125" bestFit="1" customWidth="1"/>
    <col min="10252" max="10252" width="12.6640625" bestFit="1" customWidth="1"/>
    <col min="10253" max="10253" width="10.33203125" bestFit="1" customWidth="1"/>
    <col min="10254" max="10254" width="13.6640625" bestFit="1" customWidth="1"/>
    <col min="10255" max="10255" width="10.33203125" bestFit="1" customWidth="1"/>
    <col min="10256" max="10256" width="11" customWidth="1"/>
    <col min="10258" max="10258" width="20.44140625" bestFit="1" customWidth="1"/>
    <col min="10483" max="10483" width="14.44140625" customWidth="1"/>
    <col min="10484" max="10484" width="12.6640625" customWidth="1"/>
    <col min="10485" max="10485" width="11.6640625" customWidth="1"/>
    <col min="10486" max="10486" width="10.33203125" customWidth="1"/>
    <col min="10487" max="10487" width="12.6640625" customWidth="1"/>
    <col min="10488" max="10498" width="17.6640625" customWidth="1"/>
    <col min="10499" max="10499" width="13" bestFit="1" customWidth="1"/>
    <col min="10500" max="10500" width="12.6640625" bestFit="1" customWidth="1"/>
    <col min="10502" max="10502" width="14.33203125" bestFit="1" customWidth="1"/>
    <col min="10508" max="10508" width="12.6640625" bestFit="1" customWidth="1"/>
    <col min="10509" max="10509" width="10.33203125" bestFit="1" customWidth="1"/>
    <col min="10510" max="10510" width="13.6640625" bestFit="1" customWidth="1"/>
    <col min="10511" max="10511" width="10.33203125" bestFit="1" customWidth="1"/>
    <col min="10512" max="10512" width="11" customWidth="1"/>
    <col min="10514" max="10514" width="20.44140625" bestFit="1" customWidth="1"/>
    <col min="10739" max="10739" width="14.44140625" customWidth="1"/>
    <col min="10740" max="10740" width="12.6640625" customWidth="1"/>
    <col min="10741" max="10741" width="11.6640625" customWidth="1"/>
    <col min="10742" max="10742" width="10.33203125" customWidth="1"/>
    <col min="10743" max="10743" width="12.6640625" customWidth="1"/>
    <col min="10744" max="10754" width="17.6640625" customWidth="1"/>
    <col min="10755" max="10755" width="13" bestFit="1" customWidth="1"/>
    <col min="10756" max="10756" width="12.6640625" bestFit="1" customWidth="1"/>
    <col min="10758" max="10758" width="14.33203125" bestFit="1" customWidth="1"/>
    <col min="10764" max="10764" width="12.6640625" bestFit="1" customWidth="1"/>
    <col min="10765" max="10765" width="10.33203125" bestFit="1" customWidth="1"/>
    <col min="10766" max="10766" width="13.6640625" bestFit="1" customWidth="1"/>
    <col min="10767" max="10767" width="10.33203125" bestFit="1" customWidth="1"/>
    <col min="10768" max="10768" width="11" customWidth="1"/>
    <col min="10770" max="10770" width="20.44140625" bestFit="1" customWidth="1"/>
    <col min="10995" max="10995" width="14.44140625" customWidth="1"/>
    <col min="10996" max="10996" width="12.6640625" customWidth="1"/>
    <col min="10997" max="10997" width="11.6640625" customWidth="1"/>
    <col min="10998" max="10998" width="10.33203125" customWidth="1"/>
    <col min="10999" max="10999" width="12.6640625" customWidth="1"/>
    <col min="11000" max="11010" width="17.6640625" customWidth="1"/>
    <col min="11011" max="11011" width="13" bestFit="1" customWidth="1"/>
    <col min="11012" max="11012" width="12.6640625" bestFit="1" customWidth="1"/>
    <col min="11014" max="11014" width="14.33203125" bestFit="1" customWidth="1"/>
    <col min="11020" max="11020" width="12.6640625" bestFit="1" customWidth="1"/>
    <col min="11021" max="11021" width="10.33203125" bestFit="1" customWidth="1"/>
    <col min="11022" max="11022" width="13.6640625" bestFit="1" customWidth="1"/>
    <col min="11023" max="11023" width="10.33203125" bestFit="1" customWidth="1"/>
    <col min="11024" max="11024" width="11" customWidth="1"/>
    <col min="11026" max="11026" width="20.44140625" bestFit="1" customWidth="1"/>
    <col min="11251" max="11251" width="14.44140625" customWidth="1"/>
    <col min="11252" max="11252" width="12.6640625" customWidth="1"/>
    <col min="11253" max="11253" width="11.6640625" customWidth="1"/>
    <col min="11254" max="11254" width="10.33203125" customWidth="1"/>
    <col min="11255" max="11255" width="12.6640625" customWidth="1"/>
    <col min="11256" max="11266" width="17.6640625" customWidth="1"/>
    <col min="11267" max="11267" width="13" bestFit="1" customWidth="1"/>
    <col min="11268" max="11268" width="12.6640625" bestFit="1" customWidth="1"/>
    <col min="11270" max="11270" width="14.33203125" bestFit="1" customWidth="1"/>
    <col min="11276" max="11276" width="12.6640625" bestFit="1" customWidth="1"/>
    <col min="11277" max="11277" width="10.33203125" bestFit="1" customWidth="1"/>
    <col min="11278" max="11278" width="13.6640625" bestFit="1" customWidth="1"/>
    <col min="11279" max="11279" width="10.33203125" bestFit="1" customWidth="1"/>
    <col min="11280" max="11280" width="11" customWidth="1"/>
    <col min="11282" max="11282" width="20.44140625" bestFit="1" customWidth="1"/>
    <col min="11507" max="11507" width="14.44140625" customWidth="1"/>
    <col min="11508" max="11508" width="12.6640625" customWidth="1"/>
    <col min="11509" max="11509" width="11.6640625" customWidth="1"/>
    <col min="11510" max="11510" width="10.33203125" customWidth="1"/>
    <col min="11511" max="11511" width="12.6640625" customWidth="1"/>
    <col min="11512" max="11522" width="17.6640625" customWidth="1"/>
    <col min="11523" max="11523" width="13" bestFit="1" customWidth="1"/>
    <col min="11524" max="11524" width="12.6640625" bestFit="1" customWidth="1"/>
    <col min="11526" max="11526" width="14.33203125" bestFit="1" customWidth="1"/>
    <col min="11532" max="11532" width="12.6640625" bestFit="1" customWidth="1"/>
    <col min="11533" max="11533" width="10.33203125" bestFit="1" customWidth="1"/>
    <col min="11534" max="11534" width="13.6640625" bestFit="1" customWidth="1"/>
    <col min="11535" max="11535" width="10.33203125" bestFit="1" customWidth="1"/>
    <col min="11536" max="11536" width="11" customWidth="1"/>
    <col min="11538" max="11538" width="20.44140625" bestFit="1" customWidth="1"/>
    <col min="11763" max="11763" width="14.44140625" customWidth="1"/>
    <col min="11764" max="11764" width="12.6640625" customWidth="1"/>
    <col min="11765" max="11765" width="11.6640625" customWidth="1"/>
    <col min="11766" max="11766" width="10.33203125" customWidth="1"/>
    <col min="11767" max="11767" width="12.6640625" customWidth="1"/>
    <col min="11768" max="11778" width="17.6640625" customWidth="1"/>
    <col min="11779" max="11779" width="13" bestFit="1" customWidth="1"/>
    <col min="11780" max="11780" width="12.6640625" bestFit="1" customWidth="1"/>
    <col min="11782" max="11782" width="14.33203125" bestFit="1" customWidth="1"/>
    <col min="11788" max="11788" width="12.6640625" bestFit="1" customWidth="1"/>
    <col min="11789" max="11789" width="10.33203125" bestFit="1" customWidth="1"/>
    <col min="11790" max="11790" width="13.6640625" bestFit="1" customWidth="1"/>
    <col min="11791" max="11791" width="10.33203125" bestFit="1" customWidth="1"/>
    <col min="11792" max="11792" width="11" customWidth="1"/>
    <col min="11794" max="11794" width="20.44140625" bestFit="1" customWidth="1"/>
    <col min="12019" max="12019" width="14.44140625" customWidth="1"/>
    <col min="12020" max="12020" width="12.6640625" customWidth="1"/>
    <col min="12021" max="12021" width="11.6640625" customWidth="1"/>
    <col min="12022" max="12022" width="10.33203125" customWidth="1"/>
    <col min="12023" max="12023" width="12.6640625" customWidth="1"/>
    <col min="12024" max="12034" width="17.6640625" customWidth="1"/>
    <col min="12035" max="12035" width="13" bestFit="1" customWidth="1"/>
    <col min="12036" max="12036" width="12.6640625" bestFit="1" customWidth="1"/>
    <col min="12038" max="12038" width="14.33203125" bestFit="1" customWidth="1"/>
    <col min="12044" max="12044" width="12.6640625" bestFit="1" customWidth="1"/>
    <col min="12045" max="12045" width="10.33203125" bestFit="1" customWidth="1"/>
    <col min="12046" max="12046" width="13.6640625" bestFit="1" customWidth="1"/>
    <col min="12047" max="12047" width="10.33203125" bestFit="1" customWidth="1"/>
    <col min="12048" max="12048" width="11" customWidth="1"/>
    <col min="12050" max="12050" width="20.44140625" bestFit="1" customWidth="1"/>
    <col min="12275" max="12275" width="14.44140625" customWidth="1"/>
    <col min="12276" max="12276" width="12.6640625" customWidth="1"/>
    <col min="12277" max="12277" width="11.6640625" customWidth="1"/>
    <col min="12278" max="12278" width="10.33203125" customWidth="1"/>
    <col min="12279" max="12279" width="12.6640625" customWidth="1"/>
    <col min="12280" max="12290" width="17.6640625" customWidth="1"/>
    <col min="12291" max="12291" width="13" bestFit="1" customWidth="1"/>
    <col min="12292" max="12292" width="12.6640625" bestFit="1" customWidth="1"/>
    <col min="12294" max="12294" width="14.33203125" bestFit="1" customWidth="1"/>
    <col min="12300" max="12300" width="12.6640625" bestFit="1" customWidth="1"/>
    <col min="12301" max="12301" width="10.33203125" bestFit="1" customWidth="1"/>
    <col min="12302" max="12302" width="13.6640625" bestFit="1" customWidth="1"/>
    <col min="12303" max="12303" width="10.33203125" bestFit="1" customWidth="1"/>
    <col min="12304" max="12304" width="11" customWidth="1"/>
    <col min="12306" max="12306" width="20.44140625" bestFit="1" customWidth="1"/>
    <col min="12531" max="12531" width="14.44140625" customWidth="1"/>
    <col min="12532" max="12532" width="12.6640625" customWidth="1"/>
    <col min="12533" max="12533" width="11.6640625" customWidth="1"/>
    <col min="12534" max="12534" width="10.33203125" customWidth="1"/>
    <col min="12535" max="12535" width="12.6640625" customWidth="1"/>
    <col min="12536" max="12546" width="17.6640625" customWidth="1"/>
    <col min="12547" max="12547" width="13" bestFit="1" customWidth="1"/>
    <col min="12548" max="12548" width="12.6640625" bestFit="1" customWidth="1"/>
    <col min="12550" max="12550" width="14.33203125" bestFit="1" customWidth="1"/>
    <col min="12556" max="12556" width="12.6640625" bestFit="1" customWidth="1"/>
    <col min="12557" max="12557" width="10.33203125" bestFit="1" customWidth="1"/>
    <col min="12558" max="12558" width="13.6640625" bestFit="1" customWidth="1"/>
    <col min="12559" max="12559" width="10.33203125" bestFit="1" customWidth="1"/>
    <col min="12560" max="12560" width="11" customWidth="1"/>
    <col min="12562" max="12562" width="20.44140625" bestFit="1" customWidth="1"/>
    <col min="12787" max="12787" width="14.44140625" customWidth="1"/>
    <col min="12788" max="12788" width="12.6640625" customWidth="1"/>
    <col min="12789" max="12789" width="11.6640625" customWidth="1"/>
    <col min="12790" max="12790" width="10.33203125" customWidth="1"/>
    <col min="12791" max="12791" width="12.6640625" customWidth="1"/>
    <col min="12792" max="12802" width="17.6640625" customWidth="1"/>
    <col min="12803" max="12803" width="13" bestFit="1" customWidth="1"/>
    <col min="12804" max="12804" width="12.6640625" bestFit="1" customWidth="1"/>
    <col min="12806" max="12806" width="14.33203125" bestFit="1" customWidth="1"/>
    <col min="12812" max="12812" width="12.6640625" bestFit="1" customWidth="1"/>
    <col min="12813" max="12813" width="10.33203125" bestFit="1" customWidth="1"/>
    <col min="12814" max="12814" width="13.6640625" bestFit="1" customWidth="1"/>
    <col min="12815" max="12815" width="10.33203125" bestFit="1" customWidth="1"/>
    <col min="12816" max="12816" width="11" customWidth="1"/>
    <col min="12818" max="12818" width="20.44140625" bestFit="1" customWidth="1"/>
    <col min="13043" max="13043" width="14.44140625" customWidth="1"/>
    <col min="13044" max="13044" width="12.6640625" customWidth="1"/>
    <col min="13045" max="13045" width="11.6640625" customWidth="1"/>
    <col min="13046" max="13046" width="10.33203125" customWidth="1"/>
    <col min="13047" max="13047" width="12.6640625" customWidth="1"/>
    <col min="13048" max="13058" width="17.6640625" customWidth="1"/>
    <col min="13059" max="13059" width="13" bestFit="1" customWidth="1"/>
    <col min="13060" max="13060" width="12.6640625" bestFit="1" customWidth="1"/>
    <col min="13062" max="13062" width="14.33203125" bestFit="1" customWidth="1"/>
    <col min="13068" max="13068" width="12.6640625" bestFit="1" customWidth="1"/>
    <col min="13069" max="13069" width="10.33203125" bestFit="1" customWidth="1"/>
    <col min="13070" max="13070" width="13.6640625" bestFit="1" customWidth="1"/>
    <col min="13071" max="13071" width="10.33203125" bestFit="1" customWidth="1"/>
    <col min="13072" max="13072" width="11" customWidth="1"/>
    <col min="13074" max="13074" width="20.44140625" bestFit="1" customWidth="1"/>
    <col min="13299" max="13299" width="14.44140625" customWidth="1"/>
    <col min="13300" max="13300" width="12.6640625" customWidth="1"/>
    <col min="13301" max="13301" width="11.6640625" customWidth="1"/>
    <col min="13302" max="13302" width="10.33203125" customWidth="1"/>
    <col min="13303" max="13303" width="12.6640625" customWidth="1"/>
    <col min="13304" max="13314" width="17.6640625" customWidth="1"/>
    <col min="13315" max="13315" width="13" bestFit="1" customWidth="1"/>
    <col min="13316" max="13316" width="12.6640625" bestFit="1" customWidth="1"/>
    <col min="13318" max="13318" width="14.33203125" bestFit="1" customWidth="1"/>
    <col min="13324" max="13324" width="12.6640625" bestFit="1" customWidth="1"/>
    <col min="13325" max="13325" width="10.33203125" bestFit="1" customWidth="1"/>
    <col min="13326" max="13326" width="13.6640625" bestFit="1" customWidth="1"/>
    <col min="13327" max="13327" width="10.33203125" bestFit="1" customWidth="1"/>
    <col min="13328" max="13328" width="11" customWidth="1"/>
    <col min="13330" max="13330" width="20.44140625" bestFit="1" customWidth="1"/>
    <col min="13555" max="13555" width="14.44140625" customWidth="1"/>
    <col min="13556" max="13556" width="12.6640625" customWidth="1"/>
    <col min="13557" max="13557" width="11.6640625" customWidth="1"/>
    <col min="13558" max="13558" width="10.33203125" customWidth="1"/>
    <col min="13559" max="13559" width="12.6640625" customWidth="1"/>
    <col min="13560" max="13570" width="17.6640625" customWidth="1"/>
    <col min="13571" max="13571" width="13" bestFit="1" customWidth="1"/>
    <col min="13572" max="13572" width="12.6640625" bestFit="1" customWidth="1"/>
    <col min="13574" max="13574" width="14.33203125" bestFit="1" customWidth="1"/>
    <col min="13580" max="13580" width="12.6640625" bestFit="1" customWidth="1"/>
    <col min="13581" max="13581" width="10.33203125" bestFit="1" customWidth="1"/>
    <col min="13582" max="13582" width="13.6640625" bestFit="1" customWidth="1"/>
    <col min="13583" max="13583" width="10.33203125" bestFit="1" customWidth="1"/>
    <col min="13584" max="13584" width="11" customWidth="1"/>
    <col min="13586" max="13586" width="20.44140625" bestFit="1" customWidth="1"/>
    <col min="13811" max="13811" width="14.44140625" customWidth="1"/>
    <col min="13812" max="13812" width="12.6640625" customWidth="1"/>
    <col min="13813" max="13813" width="11.6640625" customWidth="1"/>
    <col min="13814" max="13814" width="10.33203125" customWidth="1"/>
    <col min="13815" max="13815" width="12.6640625" customWidth="1"/>
    <col min="13816" max="13826" width="17.6640625" customWidth="1"/>
    <col min="13827" max="13827" width="13" bestFit="1" customWidth="1"/>
    <col min="13828" max="13828" width="12.6640625" bestFit="1" customWidth="1"/>
    <col min="13830" max="13830" width="14.33203125" bestFit="1" customWidth="1"/>
    <col min="13836" max="13836" width="12.6640625" bestFit="1" customWidth="1"/>
    <col min="13837" max="13837" width="10.33203125" bestFit="1" customWidth="1"/>
    <col min="13838" max="13838" width="13.6640625" bestFit="1" customWidth="1"/>
    <col min="13839" max="13839" width="10.33203125" bestFit="1" customWidth="1"/>
    <col min="13840" max="13840" width="11" customWidth="1"/>
    <col min="13842" max="13842" width="20.44140625" bestFit="1" customWidth="1"/>
    <col min="14067" max="14067" width="14.44140625" customWidth="1"/>
    <col min="14068" max="14068" width="12.6640625" customWidth="1"/>
    <col min="14069" max="14069" width="11.6640625" customWidth="1"/>
    <col min="14070" max="14070" width="10.33203125" customWidth="1"/>
    <col min="14071" max="14071" width="12.6640625" customWidth="1"/>
    <col min="14072" max="14082" width="17.6640625" customWidth="1"/>
    <col min="14083" max="14083" width="13" bestFit="1" customWidth="1"/>
    <col min="14084" max="14084" width="12.6640625" bestFit="1" customWidth="1"/>
    <col min="14086" max="14086" width="14.33203125" bestFit="1" customWidth="1"/>
    <col min="14092" max="14092" width="12.6640625" bestFit="1" customWidth="1"/>
    <col min="14093" max="14093" width="10.33203125" bestFit="1" customWidth="1"/>
    <col min="14094" max="14094" width="13.6640625" bestFit="1" customWidth="1"/>
    <col min="14095" max="14095" width="10.33203125" bestFit="1" customWidth="1"/>
    <col min="14096" max="14096" width="11" customWidth="1"/>
    <col min="14098" max="14098" width="20.44140625" bestFit="1" customWidth="1"/>
    <col min="14323" max="14323" width="14.44140625" customWidth="1"/>
    <col min="14324" max="14324" width="12.6640625" customWidth="1"/>
    <col min="14325" max="14325" width="11.6640625" customWidth="1"/>
    <col min="14326" max="14326" width="10.33203125" customWidth="1"/>
    <col min="14327" max="14327" width="12.6640625" customWidth="1"/>
    <col min="14328" max="14338" width="17.6640625" customWidth="1"/>
    <col min="14339" max="14339" width="13" bestFit="1" customWidth="1"/>
    <col min="14340" max="14340" width="12.6640625" bestFit="1" customWidth="1"/>
    <col min="14342" max="14342" width="14.33203125" bestFit="1" customWidth="1"/>
    <col min="14348" max="14348" width="12.6640625" bestFit="1" customWidth="1"/>
    <col min="14349" max="14349" width="10.33203125" bestFit="1" customWidth="1"/>
    <col min="14350" max="14350" width="13.6640625" bestFit="1" customWidth="1"/>
    <col min="14351" max="14351" width="10.33203125" bestFit="1" customWidth="1"/>
    <col min="14352" max="14352" width="11" customWidth="1"/>
    <col min="14354" max="14354" width="20.44140625" bestFit="1" customWidth="1"/>
    <col min="14579" max="14579" width="14.44140625" customWidth="1"/>
    <col min="14580" max="14580" width="12.6640625" customWidth="1"/>
    <col min="14581" max="14581" width="11.6640625" customWidth="1"/>
    <col min="14582" max="14582" width="10.33203125" customWidth="1"/>
    <col min="14583" max="14583" width="12.6640625" customWidth="1"/>
    <col min="14584" max="14594" width="17.6640625" customWidth="1"/>
    <col min="14595" max="14595" width="13" bestFit="1" customWidth="1"/>
    <col min="14596" max="14596" width="12.6640625" bestFit="1" customWidth="1"/>
    <col min="14598" max="14598" width="14.33203125" bestFit="1" customWidth="1"/>
    <col min="14604" max="14604" width="12.6640625" bestFit="1" customWidth="1"/>
    <col min="14605" max="14605" width="10.33203125" bestFit="1" customWidth="1"/>
    <col min="14606" max="14606" width="13.6640625" bestFit="1" customWidth="1"/>
    <col min="14607" max="14607" width="10.33203125" bestFit="1" customWidth="1"/>
    <col min="14608" max="14608" width="11" customWidth="1"/>
    <col min="14610" max="14610" width="20.44140625" bestFit="1" customWidth="1"/>
    <col min="14835" max="14835" width="14.44140625" customWidth="1"/>
    <col min="14836" max="14836" width="12.6640625" customWidth="1"/>
    <col min="14837" max="14837" width="11.6640625" customWidth="1"/>
    <col min="14838" max="14838" width="10.33203125" customWidth="1"/>
    <col min="14839" max="14839" width="12.6640625" customWidth="1"/>
    <col min="14840" max="14850" width="17.6640625" customWidth="1"/>
    <col min="14851" max="14851" width="13" bestFit="1" customWidth="1"/>
    <col min="14852" max="14852" width="12.6640625" bestFit="1" customWidth="1"/>
    <col min="14854" max="14854" width="14.33203125" bestFit="1" customWidth="1"/>
    <col min="14860" max="14860" width="12.6640625" bestFit="1" customWidth="1"/>
    <col min="14861" max="14861" width="10.33203125" bestFit="1" customWidth="1"/>
    <col min="14862" max="14862" width="13.6640625" bestFit="1" customWidth="1"/>
    <col min="14863" max="14863" width="10.33203125" bestFit="1" customWidth="1"/>
    <col min="14864" max="14864" width="11" customWidth="1"/>
    <col min="14866" max="14866" width="20.44140625" bestFit="1" customWidth="1"/>
    <col min="15091" max="15091" width="14.44140625" customWidth="1"/>
    <col min="15092" max="15092" width="12.6640625" customWidth="1"/>
    <col min="15093" max="15093" width="11.6640625" customWidth="1"/>
    <col min="15094" max="15094" width="10.33203125" customWidth="1"/>
    <col min="15095" max="15095" width="12.6640625" customWidth="1"/>
    <col min="15096" max="15106" width="17.6640625" customWidth="1"/>
    <col min="15107" max="15107" width="13" bestFit="1" customWidth="1"/>
    <col min="15108" max="15108" width="12.6640625" bestFit="1" customWidth="1"/>
    <col min="15110" max="15110" width="14.33203125" bestFit="1" customWidth="1"/>
    <col min="15116" max="15116" width="12.6640625" bestFit="1" customWidth="1"/>
    <col min="15117" max="15117" width="10.33203125" bestFit="1" customWidth="1"/>
    <col min="15118" max="15118" width="13.6640625" bestFit="1" customWidth="1"/>
    <col min="15119" max="15119" width="10.33203125" bestFit="1" customWidth="1"/>
    <col min="15120" max="15120" width="11" customWidth="1"/>
    <col min="15122" max="15122" width="20.44140625" bestFit="1" customWidth="1"/>
    <col min="15347" max="15347" width="14.44140625" customWidth="1"/>
    <col min="15348" max="15348" width="12.6640625" customWidth="1"/>
    <col min="15349" max="15349" width="11.6640625" customWidth="1"/>
    <col min="15350" max="15350" width="10.33203125" customWidth="1"/>
    <col min="15351" max="15351" width="12.6640625" customWidth="1"/>
    <col min="15352" max="15362" width="17.6640625" customWidth="1"/>
    <col min="15363" max="15363" width="13" bestFit="1" customWidth="1"/>
    <col min="15364" max="15364" width="12.6640625" bestFit="1" customWidth="1"/>
    <col min="15366" max="15366" width="14.33203125" bestFit="1" customWidth="1"/>
    <col min="15372" max="15372" width="12.6640625" bestFit="1" customWidth="1"/>
    <col min="15373" max="15373" width="10.33203125" bestFit="1" customWidth="1"/>
    <col min="15374" max="15374" width="13.6640625" bestFit="1" customWidth="1"/>
    <col min="15375" max="15375" width="10.33203125" bestFit="1" customWidth="1"/>
    <col min="15376" max="15376" width="11" customWidth="1"/>
    <col min="15378" max="15378" width="20.44140625" bestFit="1" customWidth="1"/>
    <col min="15603" max="15603" width="14.44140625" customWidth="1"/>
    <col min="15604" max="15604" width="12.6640625" customWidth="1"/>
    <col min="15605" max="15605" width="11.6640625" customWidth="1"/>
    <col min="15606" max="15606" width="10.33203125" customWidth="1"/>
    <col min="15607" max="15607" width="12.6640625" customWidth="1"/>
    <col min="15608" max="15618" width="17.6640625" customWidth="1"/>
    <col min="15619" max="15619" width="13" bestFit="1" customWidth="1"/>
    <col min="15620" max="15620" width="12.6640625" bestFit="1" customWidth="1"/>
    <col min="15622" max="15622" width="14.33203125" bestFit="1" customWidth="1"/>
    <col min="15628" max="15628" width="12.6640625" bestFit="1" customWidth="1"/>
    <col min="15629" max="15629" width="10.33203125" bestFit="1" customWidth="1"/>
    <col min="15630" max="15630" width="13.6640625" bestFit="1" customWidth="1"/>
    <col min="15631" max="15631" width="10.33203125" bestFit="1" customWidth="1"/>
    <col min="15632" max="15632" width="11" customWidth="1"/>
    <col min="15634" max="15634" width="20.44140625" bestFit="1" customWidth="1"/>
    <col min="15859" max="15859" width="14.44140625" customWidth="1"/>
    <col min="15860" max="15860" width="12.6640625" customWidth="1"/>
    <col min="15861" max="15861" width="11.6640625" customWidth="1"/>
    <col min="15862" max="15862" width="10.33203125" customWidth="1"/>
    <col min="15863" max="15863" width="12.6640625" customWidth="1"/>
    <col min="15864" max="15874" width="17.6640625" customWidth="1"/>
    <col min="15875" max="15875" width="13" bestFit="1" customWidth="1"/>
    <col min="15876" max="15876" width="12.6640625" bestFit="1" customWidth="1"/>
    <col min="15878" max="15878" width="14.33203125" bestFit="1" customWidth="1"/>
    <col min="15884" max="15884" width="12.6640625" bestFit="1" customWidth="1"/>
    <col min="15885" max="15885" width="10.33203125" bestFit="1" customWidth="1"/>
    <col min="15886" max="15886" width="13.6640625" bestFit="1" customWidth="1"/>
    <col min="15887" max="15887" width="10.33203125" bestFit="1" customWidth="1"/>
    <col min="15888" max="15888" width="11" customWidth="1"/>
    <col min="15890" max="15890" width="20.44140625" bestFit="1" customWidth="1"/>
    <col min="16115" max="16115" width="14.44140625" customWidth="1"/>
    <col min="16116" max="16116" width="12.6640625" customWidth="1"/>
    <col min="16117" max="16117" width="11.6640625" customWidth="1"/>
    <col min="16118" max="16118" width="10.33203125" customWidth="1"/>
    <col min="16119" max="16119" width="12.6640625" customWidth="1"/>
    <col min="16120" max="16130" width="17.6640625" customWidth="1"/>
    <col min="16131" max="16131" width="13" bestFit="1" customWidth="1"/>
    <col min="16132" max="16132" width="12.6640625" bestFit="1" customWidth="1"/>
    <col min="16134" max="16134" width="14.33203125" bestFit="1" customWidth="1"/>
    <col min="16140" max="16140" width="12.6640625" bestFit="1" customWidth="1"/>
    <col min="16141" max="16141" width="10.33203125" bestFit="1" customWidth="1"/>
    <col min="16142" max="16142" width="13.6640625" bestFit="1" customWidth="1"/>
    <col min="16143" max="16143" width="10.33203125" bestFit="1" customWidth="1"/>
    <col min="16144" max="16144" width="11" customWidth="1"/>
    <col min="16146" max="16146" width="20.44140625" bestFit="1" customWidth="1"/>
  </cols>
  <sheetData>
    <row r="1" spans="1:27" x14ac:dyDescent="0.25">
      <c r="B1" s="220"/>
    </row>
    <row r="2" spans="1:27" ht="28.5" customHeight="1" x14ac:dyDescent="0.25">
      <c r="A2" s="89" t="s">
        <v>99</v>
      </c>
      <c r="B2" s="221" t="s">
        <v>100</v>
      </c>
      <c r="E2" s="98" t="s">
        <v>97</v>
      </c>
      <c r="F2" s="221" t="s">
        <v>23</v>
      </c>
      <c r="H2" s="78" t="s">
        <v>84</v>
      </c>
      <c r="I2" s="78">
        <v>1</v>
      </c>
      <c r="J2" s="86"/>
      <c r="K2" s="130"/>
      <c r="L2" s="130">
        <v>2006</v>
      </c>
      <c r="M2" s="130">
        <v>2007</v>
      </c>
      <c r="N2" s="130">
        <v>2008</v>
      </c>
      <c r="O2" s="130">
        <v>2009</v>
      </c>
      <c r="P2" s="130">
        <v>2010</v>
      </c>
      <c r="Q2" s="130">
        <v>2011</v>
      </c>
      <c r="R2" s="130">
        <v>2012</v>
      </c>
      <c r="S2" s="130">
        <v>2013</v>
      </c>
      <c r="T2" s="130">
        <v>2014</v>
      </c>
      <c r="U2" s="130">
        <v>2015</v>
      </c>
      <c r="V2" s="130">
        <v>2016</v>
      </c>
      <c r="W2" s="130">
        <v>2017</v>
      </c>
      <c r="X2" s="130">
        <v>2018</v>
      </c>
      <c r="Y2" s="130">
        <v>2019</v>
      </c>
      <c r="Z2" s="130">
        <v>2020</v>
      </c>
      <c r="AA2" s="130">
        <v>2021</v>
      </c>
    </row>
    <row r="3" spans="1:27" x14ac:dyDescent="0.25">
      <c r="A3" s="1">
        <v>2006</v>
      </c>
      <c r="B3" s="83">
        <f>L19</f>
        <v>941452</v>
      </c>
      <c r="D3" s="79">
        <f>B3-C3</f>
        <v>941452</v>
      </c>
      <c r="E3" s="84">
        <f>D3/$I$14</f>
        <v>12069.897435897436</v>
      </c>
      <c r="F3" s="79">
        <f>B3-C37</f>
        <v>0</v>
      </c>
      <c r="H3" s="78" t="s">
        <v>86</v>
      </c>
      <c r="I3" s="78">
        <v>2</v>
      </c>
      <c r="J3" s="86"/>
      <c r="K3" s="215" t="s">
        <v>181</v>
      </c>
      <c r="L3" s="241">
        <v>1882904</v>
      </c>
      <c r="M3" s="241">
        <v>1882904</v>
      </c>
      <c r="N3" s="241">
        <v>1882904</v>
      </c>
      <c r="O3" s="241">
        <v>1882904</v>
      </c>
      <c r="P3" s="241">
        <v>327019</v>
      </c>
      <c r="Q3" s="241">
        <v>327019</v>
      </c>
      <c r="R3" s="241">
        <v>299133</v>
      </c>
      <c r="S3" s="241">
        <v>299133</v>
      </c>
      <c r="T3" s="241">
        <v>281082</v>
      </c>
      <c r="U3" s="241">
        <v>281082</v>
      </c>
      <c r="V3" s="241">
        <v>265560</v>
      </c>
      <c r="W3" s="241">
        <v>265560</v>
      </c>
      <c r="X3" s="241">
        <v>265560</v>
      </c>
      <c r="Y3" s="241">
        <v>265560</v>
      </c>
      <c r="Z3" s="241">
        <v>240382</v>
      </c>
      <c r="AA3" s="241">
        <v>208943</v>
      </c>
    </row>
    <row r="4" spans="1:27" x14ac:dyDescent="0.25">
      <c r="A4" s="1">
        <v>2007</v>
      </c>
      <c r="B4" s="83">
        <f>M19</f>
        <v>2695844</v>
      </c>
      <c r="C4" s="83">
        <f>D37</f>
        <v>1738065.2307692305</v>
      </c>
      <c r="D4" s="79">
        <f>B4-C4</f>
        <v>957778.76923076948</v>
      </c>
      <c r="E4" s="135">
        <f>D4/$I$14</f>
        <v>12279.214990138071</v>
      </c>
      <c r="F4" s="79">
        <f>B4-C49</f>
        <v>0</v>
      </c>
      <c r="H4" s="78" t="s">
        <v>87</v>
      </c>
      <c r="I4" s="78">
        <v>3</v>
      </c>
      <c r="J4" s="86"/>
      <c r="K4" s="215" t="s">
        <v>182</v>
      </c>
      <c r="L4" s="241"/>
      <c r="M4" s="241">
        <v>1625880</v>
      </c>
      <c r="N4" s="241">
        <v>1014705</v>
      </c>
      <c r="O4" s="241">
        <v>938726</v>
      </c>
      <c r="P4" s="241">
        <v>938726</v>
      </c>
      <c r="Q4" s="241">
        <v>938622</v>
      </c>
      <c r="R4" s="241">
        <v>910908</v>
      </c>
      <c r="S4" s="241">
        <v>910908</v>
      </c>
      <c r="T4" s="241">
        <v>910908</v>
      </c>
      <c r="U4" s="241">
        <v>298906</v>
      </c>
      <c r="V4" s="241">
        <v>250660</v>
      </c>
      <c r="W4" s="241">
        <v>148699</v>
      </c>
      <c r="X4" s="241">
        <v>148699</v>
      </c>
      <c r="Y4" s="241">
        <v>148699</v>
      </c>
      <c r="Z4" s="241">
        <v>148699</v>
      </c>
      <c r="AA4" s="241">
        <v>119310</v>
      </c>
    </row>
    <row r="5" spans="1:27" x14ac:dyDescent="0.25">
      <c r="A5" s="1">
        <v>2008</v>
      </c>
      <c r="B5" s="83">
        <f>N19</f>
        <v>3577650.5</v>
      </c>
      <c r="C5" s="79">
        <f>D49</f>
        <v>3506272.189349113</v>
      </c>
      <c r="D5" s="79">
        <f t="shared" ref="D5:D18" si="0">B5-C5</f>
        <v>71378.310650886968</v>
      </c>
      <c r="E5" s="135">
        <f t="shared" ref="E5:E18" si="1">D5/$I$14</f>
        <v>915.10654680624316</v>
      </c>
      <c r="F5" s="79">
        <f>B5-C61</f>
        <v>0</v>
      </c>
      <c r="H5" s="78" t="s">
        <v>88</v>
      </c>
      <c r="I5" s="78">
        <v>4</v>
      </c>
      <c r="J5" s="86"/>
      <c r="K5" s="215" t="s">
        <v>183</v>
      </c>
      <c r="L5" s="241"/>
      <c r="M5" s="241"/>
      <c r="N5" s="241">
        <v>1360083</v>
      </c>
      <c r="O5" s="241">
        <v>1219793</v>
      </c>
      <c r="P5" s="241">
        <v>1219793</v>
      </c>
      <c r="Q5" s="241">
        <v>1219793</v>
      </c>
      <c r="R5" s="241">
        <v>1122463</v>
      </c>
      <c r="S5" s="241">
        <v>1122215</v>
      </c>
      <c r="T5" s="241">
        <v>1021121</v>
      </c>
      <c r="U5" s="241">
        <v>945596</v>
      </c>
      <c r="V5" s="241">
        <v>725567</v>
      </c>
      <c r="W5" s="241">
        <v>636927</v>
      </c>
      <c r="X5" s="241">
        <v>585311</v>
      </c>
      <c r="Y5" s="241">
        <v>585311</v>
      </c>
      <c r="Z5" s="241">
        <v>575633</v>
      </c>
      <c r="AA5" s="241">
        <v>568260</v>
      </c>
    </row>
    <row r="6" spans="1:27" x14ac:dyDescent="0.25">
      <c r="A6" s="210">
        <v>2009</v>
      </c>
      <c r="B6" s="83">
        <f>O19</f>
        <v>5546745.5</v>
      </c>
      <c r="C6" s="79">
        <f>D61</f>
        <v>3638047.5320892101</v>
      </c>
      <c r="D6" s="79">
        <f t="shared" si="0"/>
        <v>1908697.9679107899</v>
      </c>
      <c r="E6" s="135">
        <f t="shared" si="1"/>
        <v>24470.486768087048</v>
      </c>
      <c r="F6" s="79">
        <f>B6-C73</f>
        <v>0</v>
      </c>
      <c r="H6" s="78" t="s">
        <v>89</v>
      </c>
      <c r="I6" s="78">
        <v>5</v>
      </c>
      <c r="J6" s="86"/>
      <c r="K6" s="215" t="s">
        <v>184</v>
      </c>
      <c r="L6" s="241"/>
      <c r="M6" s="241"/>
      <c r="N6" s="241"/>
      <c r="O6" s="241">
        <v>3010645</v>
      </c>
      <c r="P6" s="241">
        <v>2710237</v>
      </c>
      <c r="Q6" s="241">
        <v>2710237</v>
      </c>
      <c r="R6" s="241">
        <v>2709453</v>
      </c>
      <c r="S6" s="241">
        <v>2673293</v>
      </c>
      <c r="T6" s="241">
        <v>2564161</v>
      </c>
      <c r="U6" s="241">
        <v>2512709</v>
      </c>
      <c r="V6" s="241">
        <v>2511586</v>
      </c>
      <c r="W6" s="241">
        <v>1807918</v>
      </c>
      <c r="X6" s="241">
        <v>993430</v>
      </c>
      <c r="Y6" s="241">
        <v>825917</v>
      </c>
      <c r="Z6" s="241">
        <v>276797</v>
      </c>
      <c r="AA6" s="241">
        <v>249120</v>
      </c>
    </row>
    <row r="7" spans="1:27" x14ac:dyDescent="0.25">
      <c r="A7" s="210">
        <v>2010</v>
      </c>
      <c r="B7" s="83">
        <f>P19</f>
        <v>6299392.5</v>
      </c>
      <c r="C7" s="79">
        <f>D73</f>
        <v>7161797.6266937423</v>
      </c>
      <c r="D7" s="79">
        <f t="shared" si="0"/>
        <v>-862405.12669374235</v>
      </c>
      <c r="E7" s="135">
        <f t="shared" si="1"/>
        <v>-11056.475983253107</v>
      </c>
      <c r="F7" s="79">
        <f>B7-C85</f>
        <v>0</v>
      </c>
      <c r="H7" s="78" t="s">
        <v>90</v>
      </c>
      <c r="I7" s="78">
        <v>6</v>
      </c>
      <c r="J7" s="86"/>
      <c r="K7" s="215" t="s">
        <v>185</v>
      </c>
      <c r="L7" s="241"/>
      <c r="M7" s="241"/>
      <c r="N7" s="241"/>
      <c r="O7" s="241" t="s">
        <v>227</v>
      </c>
      <c r="P7" s="241">
        <v>2207235</v>
      </c>
      <c r="Q7" s="241">
        <v>1661959</v>
      </c>
      <c r="R7" s="241">
        <v>1659006</v>
      </c>
      <c r="S7" s="241">
        <v>1658597</v>
      </c>
      <c r="T7" s="241">
        <v>1613645</v>
      </c>
      <c r="U7" s="241">
        <v>1439007</v>
      </c>
      <c r="V7" s="241">
        <v>1428074</v>
      </c>
      <c r="W7" s="241">
        <v>1232154</v>
      </c>
      <c r="X7" s="241">
        <v>821459</v>
      </c>
      <c r="Y7" s="241">
        <v>378783</v>
      </c>
      <c r="Z7" s="241">
        <v>285673</v>
      </c>
      <c r="AA7" s="241">
        <v>285673</v>
      </c>
    </row>
    <row r="8" spans="1:27" x14ac:dyDescent="0.25">
      <c r="A8" s="210">
        <v>2011</v>
      </c>
      <c r="B8" s="83">
        <f>Q19</f>
        <v>7994318</v>
      </c>
      <c r="C8" s="79">
        <f>D85</f>
        <v>5569665.0851052962</v>
      </c>
      <c r="D8" s="79">
        <f t="shared" si="0"/>
        <v>2424652.9148947038</v>
      </c>
      <c r="E8" s="135">
        <f t="shared" si="1"/>
        <v>31085.29378070133</v>
      </c>
      <c r="F8" s="79">
        <f>B8-C97</f>
        <v>0</v>
      </c>
      <c r="H8" s="78" t="s">
        <v>91</v>
      </c>
      <c r="I8" s="78">
        <v>7</v>
      </c>
      <c r="J8" s="86"/>
      <c r="K8" s="215" t="s">
        <v>186</v>
      </c>
      <c r="L8" s="242"/>
      <c r="M8" s="242"/>
      <c r="N8" s="242"/>
      <c r="O8" s="242"/>
      <c r="P8" s="241"/>
      <c r="Q8" s="241">
        <v>2273376</v>
      </c>
      <c r="R8" s="241">
        <v>2245335</v>
      </c>
      <c r="S8" s="241">
        <v>2244364</v>
      </c>
      <c r="T8" s="241">
        <v>2214504</v>
      </c>
      <c r="U8" s="241">
        <v>1726499</v>
      </c>
      <c r="V8" s="241">
        <v>1634210</v>
      </c>
      <c r="W8" s="241">
        <v>1522928</v>
      </c>
      <c r="X8" s="241">
        <v>1522133</v>
      </c>
      <c r="Y8" s="241">
        <v>1562051</v>
      </c>
      <c r="Z8" s="241">
        <v>1418050</v>
      </c>
      <c r="AA8" s="241">
        <v>1364940</v>
      </c>
    </row>
    <row r="9" spans="1:27" x14ac:dyDescent="0.25">
      <c r="A9" s="210">
        <v>2012</v>
      </c>
      <c r="B9" s="83">
        <f>R19</f>
        <v>10070681</v>
      </c>
      <c r="C9" s="79">
        <f>D97</f>
        <v>10045947.389526291</v>
      </c>
      <c r="D9" s="79">
        <f t="shared" si="0"/>
        <v>24733.610473709181</v>
      </c>
      <c r="E9" s="135">
        <f t="shared" si="1"/>
        <v>317.09757017575873</v>
      </c>
      <c r="F9" s="79">
        <f>B9-C109</f>
        <v>0</v>
      </c>
      <c r="H9" s="78" t="s">
        <v>92</v>
      </c>
      <c r="I9" s="78">
        <v>8</v>
      </c>
      <c r="J9" s="86"/>
      <c r="K9" s="215" t="s">
        <v>187</v>
      </c>
      <c r="L9" s="242"/>
      <c r="M9" s="242"/>
      <c r="N9" s="242"/>
      <c r="O9" s="242"/>
      <c r="P9" s="241"/>
      <c r="Q9" s="241"/>
      <c r="R9" s="241">
        <v>2248766</v>
      </c>
      <c r="S9" s="241">
        <v>2234162</v>
      </c>
      <c r="T9" s="241">
        <v>2232597</v>
      </c>
      <c r="U9" s="241">
        <v>2218465</v>
      </c>
      <c r="V9" s="241">
        <v>2180063</v>
      </c>
      <c r="W9" s="241">
        <v>2099271</v>
      </c>
      <c r="X9" s="241">
        <v>2031329</v>
      </c>
      <c r="Y9" s="241">
        <v>2031158</v>
      </c>
      <c r="Z9" s="241">
        <v>2006300</v>
      </c>
      <c r="AA9" s="241">
        <v>1567459</v>
      </c>
    </row>
    <row r="10" spans="1:27" x14ac:dyDescent="0.25">
      <c r="A10" s="210">
        <v>2013</v>
      </c>
      <c r="B10" s="83">
        <f>S19</f>
        <v>12267722.5</v>
      </c>
      <c r="C10" s="79">
        <f>D109</f>
        <v>10091609.439631602</v>
      </c>
      <c r="D10" s="79">
        <f t="shared" si="0"/>
        <v>2176113.0603683982</v>
      </c>
      <c r="E10" s="135">
        <f t="shared" si="1"/>
        <v>27898.88538933844</v>
      </c>
      <c r="F10" s="79">
        <f>B10-C121</f>
        <v>0</v>
      </c>
      <c r="H10" s="78" t="s">
        <v>93</v>
      </c>
      <c r="I10" s="78">
        <v>9</v>
      </c>
      <c r="J10" s="86"/>
      <c r="K10" s="215" t="s">
        <v>188</v>
      </c>
      <c r="L10" s="242"/>
      <c r="M10" s="242"/>
      <c r="N10" s="242"/>
      <c r="O10" s="242"/>
      <c r="P10" s="241"/>
      <c r="Q10" s="241"/>
      <c r="R10" s="241"/>
      <c r="S10" s="241">
        <v>2250101</v>
      </c>
      <c r="T10" s="241">
        <v>2227094</v>
      </c>
      <c r="U10" s="241">
        <v>2214830</v>
      </c>
      <c r="V10" s="241">
        <v>2163540</v>
      </c>
      <c r="W10" s="241">
        <v>1171880</v>
      </c>
      <c r="X10" s="241">
        <v>1143102</v>
      </c>
      <c r="Y10" s="241">
        <v>1143102</v>
      </c>
      <c r="Z10" s="241">
        <v>1142049</v>
      </c>
      <c r="AA10" s="241">
        <v>1060279</v>
      </c>
    </row>
    <row r="11" spans="1:27" x14ac:dyDescent="0.25">
      <c r="A11" s="210">
        <v>2014</v>
      </c>
      <c r="B11" s="83">
        <f>T19</f>
        <v>14627412</v>
      </c>
      <c r="C11" s="79">
        <f>D121</f>
        <v>14109048.935696343</v>
      </c>
      <c r="D11" s="79">
        <f t="shared" si="0"/>
        <v>518363.06430365704</v>
      </c>
      <c r="E11" s="135">
        <f t="shared" si="1"/>
        <v>6645.6803115853463</v>
      </c>
      <c r="F11" s="79">
        <f>B11-C133</f>
        <v>0</v>
      </c>
      <c r="H11" s="78" t="s">
        <v>94</v>
      </c>
      <c r="I11" s="78">
        <v>10</v>
      </c>
      <c r="J11" s="86"/>
      <c r="K11" s="215" t="s">
        <v>189</v>
      </c>
      <c r="L11" s="242"/>
      <c r="M11" s="242"/>
      <c r="N11" s="242"/>
      <c r="O11" s="242"/>
      <c r="P11" s="241"/>
      <c r="Q11" s="241"/>
      <c r="R11" s="241"/>
      <c r="S11" s="241"/>
      <c r="T11" s="241">
        <v>3124600</v>
      </c>
      <c r="U11" s="241">
        <v>3023756</v>
      </c>
      <c r="V11" s="241">
        <v>2954511</v>
      </c>
      <c r="W11" s="241">
        <v>2926124</v>
      </c>
      <c r="X11" s="241">
        <v>2766222</v>
      </c>
      <c r="Y11" s="241">
        <v>2664606</v>
      </c>
      <c r="Z11" s="241">
        <v>2587498</v>
      </c>
      <c r="AA11" s="241">
        <v>2586996</v>
      </c>
    </row>
    <row r="12" spans="1:27" x14ac:dyDescent="0.25">
      <c r="A12" s="210">
        <v>2015</v>
      </c>
      <c r="B12" s="83">
        <f>U19</f>
        <v>17695753</v>
      </c>
      <c r="C12" s="111">
        <f>D133</f>
        <v>15066026.900564628</v>
      </c>
      <c r="D12" s="79">
        <f t="shared" si="0"/>
        <v>2629726.0994353723</v>
      </c>
      <c r="E12" s="135">
        <f t="shared" si="1"/>
        <v>33714.437172248363</v>
      </c>
      <c r="F12" s="79">
        <f>B12-C145</f>
        <v>0</v>
      </c>
      <c r="H12" s="78" t="s">
        <v>95</v>
      </c>
      <c r="I12" s="78">
        <v>11</v>
      </c>
      <c r="J12" s="86"/>
      <c r="K12" s="215" t="s">
        <v>190</v>
      </c>
      <c r="L12" s="242"/>
      <c r="M12" s="242"/>
      <c r="N12" s="242"/>
      <c r="O12" s="242"/>
      <c r="P12" s="241"/>
      <c r="Q12" s="241"/>
      <c r="R12" s="241"/>
      <c r="S12" s="241"/>
      <c r="T12" s="241"/>
      <c r="U12" s="241">
        <v>6069806</v>
      </c>
      <c r="V12" s="241">
        <v>6056809</v>
      </c>
      <c r="W12" s="241">
        <v>6056799</v>
      </c>
      <c r="X12" s="241">
        <v>6056886</v>
      </c>
      <c r="Y12" s="241">
        <v>6049434</v>
      </c>
      <c r="Z12" s="241">
        <v>5818360</v>
      </c>
      <c r="AA12" s="241">
        <v>5818351</v>
      </c>
    </row>
    <row r="13" spans="1:27" x14ac:dyDescent="0.25">
      <c r="A13" s="210">
        <v>2016</v>
      </c>
      <c r="B13" s="83">
        <f>V19</f>
        <v>23332281.5</v>
      </c>
      <c r="C13" s="111">
        <f>D145</f>
        <v>19920905.853368379</v>
      </c>
      <c r="D13" s="79">
        <f t="shared" si="0"/>
        <v>3411375.6466316208</v>
      </c>
      <c r="E13" s="135">
        <f t="shared" si="1"/>
        <v>43735.58521322591</v>
      </c>
      <c r="F13" s="79">
        <f>B13-C157</f>
        <v>0</v>
      </c>
      <c r="H13" s="78" t="s">
        <v>96</v>
      </c>
      <c r="I13" s="78">
        <v>12</v>
      </c>
      <c r="J13" s="86"/>
      <c r="K13" s="215" t="s">
        <v>191</v>
      </c>
      <c r="L13" s="242"/>
      <c r="M13" s="242"/>
      <c r="N13" s="242"/>
      <c r="O13" s="242"/>
      <c r="P13" s="241"/>
      <c r="Q13" s="241"/>
      <c r="R13" s="241"/>
      <c r="S13" s="241"/>
      <c r="T13" s="241"/>
      <c r="U13" s="241"/>
      <c r="V13" s="241">
        <v>6323403</v>
      </c>
      <c r="W13" s="241">
        <v>6323402</v>
      </c>
      <c r="X13" s="241">
        <v>6323402</v>
      </c>
      <c r="Y13" s="241">
        <v>6323402</v>
      </c>
      <c r="Z13" s="241">
        <v>6323402</v>
      </c>
      <c r="AA13" s="241">
        <v>6278100</v>
      </c>
    </row>
    <row r="14" spans="1:27" x14ac:dyDescent="0.25">
      <c r="A14" s="210">
        <v>2017</v>
      </c>
      <c r="B14" s="83">
        <f>W19</f>
        <v>28886489</v>
      </c>
      <c r="C14" s="111">
        <f>D157</f>
        <v>26218830.124072894</v>
      </c>
      <c r="D14" s="79">
        <f t="shared" si="0"/>
        <v>2667658.8759271055</v>
      </c>
      <c r="E14" s="135">
        <f t="shared" si="1"/>
        <v>34200.754819578273</v>
      </c>
      <c r="F14" s="79">
        <f>B14-C169</f>
        <v>0</v>
      </c>
      <c r="H14" s="78" t="s">
        <v>11</v>
      </c>
      <c r="I14" s="78">
        <f>SUM(I2:I13)</f>
        <v>78</v>
      </c>
      <c r="J14" s="86"/>
      <c r="K14" s="215" t="s">
        <v>192</v>
      </c>
      <c r="L14" s="242"/>
      <c r="M14" s="242"/>
      <c r="N14" s="242"/>
      <c r="O14" s="242"/>
      <c r="P14" s="241"/>
      <c r="Q14" s="241"/>
      <c r="R14" s="241"/>
      <c r="S14" s="241"/>
      <c r="T14" s="241"/>
      <c r="U14" s="241"/>
      <c r="V14" s="241"/>
      <c r="W14" s="241">
        <v>9389654</v>
      </c>
      <c r="X14" s="241">
        <v>8131933</v>
      </c>
      <c r="Y14" s="241">
        <v>8130994</v>
      </c>
      <c r="Z14" s="241">
        <v>8130056</v>
      </c>
      <c r="AA14" s="241">
        <v>8128833</v>
      </c>
    </row>
    <row r="15" spans="1:27" x14ac:dyDescent="0.25">
      <c r="A15" s="210">
        <v>2018</v>
      </c>
      <c r="B15" s="83">
        <f>X19</f>
        <v>32433284</v>
      </c>
      <c r="C15" s="111">
        <f>D169</f>
        <v>31143738.818092197</v>
      </c>
      <c r="D15" s="79">
        <f t="shared" si="0"/>
        <v>1289545.1819078028</v>
      </c>
      <c r="E15" s="135">
        <f t="shared" si="1"/>
        <v>16532.630537279525</v>
      </c>
      <c r="F15" s="79">
        <f>B15-C181</f>
        <v>0</v>
      </c>
      <c r="K15" s="215" t="s">
        <v>193</v>
      </c>
      <c r="L15" s="242"/>
      <c r="M15" s="242"/>
      <c r="N15" s="242"/>
      <c r="O15" s="242"/>
      <c r="P15" s="241"/>
      <c r="Q15" s="241"/>
      <c r="R15" s="241"/>
      <c r="S15" s="241"/>
      <c r="T15" s="241"/>
      <c r="U15" s="241"/>
      <c r="V15" s="241"/>
      <c r="W15" s="241"/>
      <c r="X15" s="241">
        <v>3287636</v>
      </c>
      <c r="Y15" s="241">
        <v>3271573</v>
      </c>
      <c r="Z15" s="241">
        <v>3255510</v>
      </c>
      <c r="AA15" s="241">
        <v>3239448</v>
      </c>
    </row>
    <row r="16" spans="1:27" x14ac:dyDescent="0.25">
      <c r="A16" s="210">
        <v>2019</v>
      </c>
      <c r="B16" s="83">
        <f>Y19</f>
        <v>33813446.5</v>
      </c>
      <c r="C16" s="111">
        <f>D181</f>
        <v>33524437.615460433</v>
      </c>
      <c r="D16" s="79">
        <f t="shared" si="0"/>
        <v>289008.88453956693</v>
      </c>
      <c r="E16" s="135">
        <f t="shared" si="1"/>
        <v>3705.2421094816273</v>
      </c>
      <c r="F16" s="79">
        <f>B16-C193</f>
        <v>0</v>
      </c>
      <c r="K16" s="216" t="s">
        <v>194</v>
      </c>
      <c r="L16" s="242"/>
      <c r="M16" s="242"/>
      <c r="N16" s="242"/>
      <c r="O16" s="242"/>
      <c r="P16" s="241"/>
      <c r="Q16" s="241"/>
      <c r="R16" s="241"/>
      <c r="S16" s="241"/>
      <c r="T16" s="241"/>
      <c r="U16" s="241"/>
      <c r="V16" s="241"/>
      <c r="W16" s="241"/>
      <c r="X16" s="241"/>
      <c r="Y16" s="241">
        <v>865713</v>
      </c>
      <c r="Z16" s="241">
        <v>864624</v>
      </c>
      <c r="AA16" s="241">
        <v>858241</v>
      </c>
    </row>
    <row r="17" spans="1:27" x14ac:dyDescent="0.25">
      <c r="A17" s="210">
        <v>2020</v>
      </c>
      <c r="B17" s="83">
        <f>Z19</f>
        <v>33886351.5</v>
      </c>
      <c r="C17" s="111">
        <f>D193</f>
        <v>34057992.479225799</v>
      </c>
      <c r="D17" s="79">
        <f t="shared" si="0"/>
        <v>-171640.97922579944</v>
      </c>
      <c r="E17" s="135">
        <f t="shared" si="1"/>
        <v>-2200.5253746897365</v>
      </c>
      <c r="F17" s="79">
        <f>B17-C205</f>
        <v>0</v>
      </c>
      <c r="K17" s="215" t="s">
        <v>197</v>
      </c>
      <c r="L17" s="242"/>
      <c r="M17" s="242"/>
      <c r="N17" s="242"/>
      <c r="O17" s="242"/>
      <c r="P17" s="241"/>
      <c r="Q17" s="241"/>
      <c r="R17" s="241"/>
      <c r="S17" s="241"/>
      <c r="T17" s="241"/>
      <c r="U17" s="241"/>
      <c r="V17" s="241"/>
      <c r="W17" s="241"/>
      <c r="X17" s="241"/>
      <c r="Y17" s="241"/>
      <c r="Z17" s="241">
        <v>1626637</v>
      </c>
      <c r="AA17" s="241">
        <v>1626637</v>
      </c>
    </row>
    <row r="18" spans="1:27" x14ac:dyDescent="0.25">
      <c r="A18" s="210">
        <v>2021</v>
      </c>
      <c r="B18" s="83">
        <f>AA19</f>
        <v>33960590</v>
      </c>
      <c r="C18" s="111">
        <f>D205</f>
        <v>33741116.825270496</v>
      </c>
      <c r="D18" s="79">
        <f t="shared" si="0"/>
        <v>219473.17472950369</v>
      </c>
      <c r="E18" s="135">
        <f t="shared" si="1"/>
        <v>2813.7586503782522</v>
      </c>
      <c r="F18" s="79">
        <f>B18-C217</f>
        <v>0</v>
      </c>
      <c r="J18" s="253" t="s">
        <v>25</v>
      </c>
      <c r="K18" s="253"/>
      <c r="L18" s="218">
        <f>SUM(L3:L17)</f>
        <v>1882904</v>
      </c>
      <c r="M18" s="218">
        <f t="shared" ref="M18:AA18" si="2">SUM(M3:M17)</f>
        <v>3508784</v>
      </c>
      <c r="N18" s="218">
        <f t="shared" si="2"/>
        <v>4257692</v>
      </c>
      <c r="O18" s="218">
        <f t="shared" si="2"/>
        <v>7052068</v>
      </c>
      <c r="P18" s="218">
        <f t="shared" si="2"/>
        <v>7403010</v>
      </c>
      <c r="Q18" s="218">
        <f t="shared" si="2"/>
        <v>9131006</v>
      </c>
      <c r="R18" s="218">
        <f t="shared" si="2"/>
        <v>11195064</v>
      </c>
      <c r="S18" s="218">
        <f t="shared" si="2"/>
        <v>13392773</v>
      </c>
      <c r="T18" s="218">
        <f t="shared" si="2"/>
        <v>16189712</v>
      </c>
      <c r="U18" s="218">
        <f t="shared" si="2"/>
        <v>20730656</v>
      </c>
      <c r="V18" s="218">
        <f t="shared" si="2"/>
        <v>26493983</v>
      </c>
      <c r="W18" s="218">
        <f t="shared" si="2"/>
        <v>33581316</v>
      </c>
      <c r="X18" s="218">
        <f t="shared" si="2"/>
        <v>34077102</v>
      </c>
      <c r="Y18" s="218">
        <f t="shared" si="2"/>
        <v>34246303</v>
      </c>
      <c r="Z18" s="218">
        <f t="shared" si="2"/>
        <v>34699670</v>
      </c>
      <c r="AA18" s="243">
        <f t="shared" si="2"/>
        <v>33960590</v>
      </c>
    </row>
    <row r="19" spans="1:27" x14ac:dyDescent="0.25">
      <c r="B19" s="83">
        <f>SUM(B3:B18)</f>
        <v>268029413.5</v>
      </c>
      <c r="J19" s="254" t="s">
        <v>195</v>
      </c>
      <c r="K19" s="255"/>
      <c r="L19" s="218">
        <f>L$18-L3/2</f>
        <v>941452</v>
      </c>
      <c r="M19" s="218">
        <f>M$18-M4/2</f>
        <v>2695844</v>
      </c>
      <c r="N19" s="218">
        <f>N$18-N5/2</f>
        <v>3577650.5</v>
      </c>
      <c r="O19" s="218">
        <f>O$18-O6/2</f>
        <v>5546745.5</v>
      </c>
      <c r="P19" s="218">
        <f>P$18-P7/2</f>
        <v>6299392.5</v>
      </c>
      <c r="Q19" s="218">
        <f>Q$18-Q8/2</f>
        <v>7994318</v>
      </c>
      <c r="R19" s="218">
        <f>R$18-R9/2</f>
        <v>10070681</v>
      </c>
      <c r="S19" s="218">
        <f>S$18-S10/2</f>
        <v>12267722.5</v>
      </c>
      <c r="T19" s="218">
        <f>T$18-T11/2</f>
        <v>14627412</v>
      </c>
      <c r="U19" s="218">
        <f>U$18-U12/2</f>
        <v>17695753</v>
      </c>
      <c r="V19" s="218">
        <f>V$18-V13/2</f>
        <v>23332281.5</v>
      </c>
      <c r="W19" s="218">
        <f>W$18-W14/2</f>
        <v>28886489</v>
      </c>
      <c r="X19" s="218">
        <f>X$18-X15/2</f>
        <v>32433284</v>
      </c>
      <c r="Y19" s="218">
        <f>Y$18-Y16/2</f>
        <v>33813446.5</v>
      </c>
      <c r="Z19" s="218">
        <f>Z$18-Z17/2</f>
        <v>33886351.5</v>
      </c>
      <c r="AA19" s="218">
        <f>AA18</f>
        <v>33960590</v>
      </c>
    </row>
    <row r="20" spans="1:27" x14ac:dyDescent="0.25">
      <c r="B20" s="83"/>
    </row>
    <row r="21" spans="1:27" x14ac:dyDescent="0.25">
      <c r="B21" s="83"/>
    </row>
    <row r="22" spans="1:27" x14ac:dyDescent="0.25">
      <c r="A22" s="210"/>
      <c r="B22" s="83"/>
      <c r="R22" s="81"/>
    </row>
    <row r="23" spans="1:27" x14ac:dyDescent="0.25">
      <c r="A23" s="88" t="s">
        <v>11</v>
      </c>
      <c r="B23" s="222"/>
      <c r="C23" s="81"/>
      <c r="D23" s="79"/>
      <c r="F23" s="77"/>
      <c r="R23" s="81"/>
      <c r="S23" s="81"/>
    </row>
    <row r="24" spans="1:27" x14ac:dyDescent="0.25">
      <c r="R24" s="81"/>
      <c r="S24" s="81"/>
      <c r="T24" s="81"/>
    </row>
    <row r="25" spans="1:27" ht="26.4" x14ac:dyDescent="0.25">
      <c r="A25" s="80" t="s">
        <v>99</v>
      </c>
      <c r="B25" s="132" t="s">
        <v>196</v>
      </c>
      <c r="E25" s="84"/>
      <c r="F25" s="84"/>
      <c r="L25" s="217"/>
      <c r="R25" s="81"/>
      <c r="S25" s="81"/>
      <c r="T25" s="81"/>
      <c r="U25" s="81"/>
    </row>
    <row r="26" spans="1:27" x14ac:dyDescent="0.25">
      <c r="A26" s="3">
        <v>38718</v>
      </c>
      <c r="B26" s="223">
        <f>$E$3</f>
        <v>12069.897435897436</v>
      </c>
      <c r="D26" s="84"/>
      <c r="E26" s="84"/>
      <c r="F26" s="85"/>
      <c r="R26" s="81"/>
      <c r="S26" s="81"/>
      <c r="T26" s="81"/>
      <c r="U26" s="81"/>
      <c r="V26" s="81"/>
    </row>
    <row r="27" spans="1:27" x14ac:dyDescent="0.25">
      <c r="A27" s="3">
        <v>38749</v>
      </c>
      <c r="B27" s="223">
        <f t="shared" ref="B27:B37" si="3">B26+$E$3</f>
        <v>24139.794871794871</v>
      </c>
      <c r="D27" s="84"/>
      <c r="E27" s="84"/>
      <c r="F27" s="84"/>
      <c r="R27" s="81"/>
      <c r="S27" s="81"/>
      <c r="T27" s="81"/>
      <c r="U27" s="81"/>
      <c r="V27" s="81"/>
      <c r="W27" s="81"/>
      <c r="AA27" s="81"/>
    </row>
    <row r="28" spans="1:27" x14ac:dyDescent="0.25">
      <c r="A28" s="3">
        <v>38777</v>
      </c>
      <c r="B28" s="223">
        <f t="shared" si="3"/>
        <v>36209.692307692305</v>
      </c>
      <c r="D28" s="84"/>
      <c r="E28" s="84"/>
      <c r="F28" s="85"/>
      <c r="R28" s="81"/>
      <c r="S28" s="81"/>
      <c r="T28" s="81"/>
      <c r="U28" s="81"/>
      <c r="V28" s="81"/>
      <c r="W28" s="81"/>
      <c r="X28" s="81"/>
      <c r="Y28" s="81"/>
      <c r="Z28" s="81"/>
      <c r="AA28" s="81"/>
    </row>
    <row r="29" spans="1:27" x14ac:dyDescent="0.25">
      <c r="A29" s="3">
        <v>38808</v>
      </c>
      <c r="B29" s="223">
        <f t="shared" si="3"/>
        <v>48279.589743589742</v>
      </c>
      <c r="D29" s="84"/>
      <c r="E29" s="84"/>
      <c r="F29" s="84"/>
    </row>
    <row r="30" spans="1:27" x14ac:dyDescent="0.25">
      <c r="A30" s="3">
        <v>38838</v>
      </c>
      <c r="B30" s="223">
        <f t="shared" si="3"/>
        <v>60349.48717948718</v>
      </c>
      <c r="D30" s="84"/>
      <c r="E30" s="84"/>
      <c r="F30" s="84"/>
      <c r="R30" s="79"/>
      <c r="S30" s="79"/>
      <c r="T30" s="79"/>
      <c r="U30" s="79"/>
      <c r="V30" s="79"/>
      <c r="W30" s="79"/>
      <c r="X30" s="79"/>
      <c r="Y30" s="79"/>
      <c r="Z30" s="79"/>
      <c r="AA30" s="79"/>
    </row>
    <row r="31" spans="1:27" x14ac:dyDescent="0.25">
      <c r="A31" s="3">
        <v>38869</v>
      </c>
      <c r="B31" s="223">
        <f t="shared" si="3"/>
        <v>72419.38461538461</v>
      </c>
      <c r="D31" s="84"/>
      <c r="E31" s="84"/>
      <c r="F31" s="84"/>
      <c r="R31" s="79"/>
      <c r="S31" s="79"/>
      <c r="T31" s="79"/>
      <c r="U31" s="79"/>
      <c r="V31" s="79"/>
      <c r="W31" s="79"/>
      <c r="X31" s="79"/>
      <c r="Y31" s="79"/>
      <c r="Z31" s="79"/>
      <c r="AA31" s="79"/>
    </row>
    <row r="32" spans="1:27" x14ac:dyDescent="0.25">
      <c r="A32" s="3">
        <v>38899</v>
      </c>
      <c r="B32" s="223">
        <f t="shared" si="3"/>
        <v>84489.282051282047</v>
      </c>
      <c r="D32" s="84"/>
      <c r="E32" s="84"/>
      <c r="F32" s="84"/>
      <c r="R32" s="79"/>
      <c r="S32" s="79"/>
      <c r="T32" s="79"/>
      <c r="U32" s="79"/>
      <c r="V32" s="79"/>
      <c r="W32" s="79"/>
      <c r="X32" s="79"/>
      <c r="Y32" s="79"/>
      <c r="Z32" s="79"/>
      <c r="AA32" s="79"/>
    </row>
    <row r="33" spans="1:27" x14ac:dyDescent="0.25">
      <c r="A33" s="3">
        <v>38930</v>
      </c>
      <c r="B33" s="223">
        <f t="shared" si="3"/>
        <v>96559.179487179485</v>
      </c>
      <c r="D33" s="84"/>
      <c r="E33" s="84"/>
      <c r="F33" s="84"/>
      <c r="R33" s="79"/>
      <c r="S33" s="79"/>
      <c r="T33" s="79"/>
      <c r="U33" s="79"/>
      <c r="V33" s="79"/>
      <c r="W33" s="79"/>
      <c r="X33" s="79"/>
      <c r="Y33" s="79"/>
      <c r="Z33" s="79"/>
      <c r="AA33" s="79"/>
    </row>
    <row r="34" spans="1:27" x14ac:dyDescent="0.25">
      <c r="A34" s="3">
        <v>38961</v>
      </c>
      <c r="B34" s="223">
        <f t="shared" si="3"/>
        <v>108629.07692307692</v>
      </c>
      <c r="D34" s="84"/>
      <c r="E34" s="84"/>
      <c r="F34" s="84"/>
      <c r="R34" s="79"/>
      <c r="S34" s="79"/>
      <c r="T34" s="79"/>
      <c r="U34" s="79"/>
      <c r="V34" s="79"/>
      <c r="W34" s="79"/>
      <c r="X34" s="79"/>
      <c r="Y34" s="79"/>
      <c r="Z34" s="79"/>
      <c r="AA34" s="79"/>
    </row>
    <row r="35" spans="1:27" x14ac:dyDescent="0.25">
      <c r="A35" s="3">
        <v>38991</v>
      </c>
      <c r="B35" s="223">
        <f t="shared" si="3"/>
        <v>120698.97435897436</v>
      </c>
      <c r="D35" s="84"/>
      <c r="E35" s="84"/>
      <c r="F35" s="84"/>
      <c r="R35" s="79"/>
      <c r="S35" s="79"/>
      <c r="T35" s="79"/>
      <c r="U35" s="79"/>
      <c r="V35" s="79"/>
      <c r="W35" s="79"/>
      <c r="X35" s="79"/>
      <c r="Y35" s="79"/>
      <c r="Z35" s="79"/>
      <c r="AA35" s="79"/>
    </row>
    <row r="36" spans="1:27" x14ac:dyDescent="0.25">
      <c r="A36" s="3">
        <v>39022</v>
      </c>
      <c r="B36" s="223">
        <f t="shared" si="3"/>
        <v>132768.87179487178</v>
      </c>
      <c r="D36" s="84"/>
      <c r="E36" s="84"/>
      <c r="R36" s="79"/>
      <c r="S36" s="79"/>
      <c r="T36" s="79"/>
      <c r="U36" s="79"/>
      <c r="V36" s="79"/>
      <c r="W36" s="79"/>
      <c r="X36" s="79"/>
      <c r="Y36" s="79"/>
      <c r="Z36" s="79"/>
      <c r="AA36" s="79"/>
    </row>
    <row r="37" spans="1:27" x14ac:dyDescent="0.25">
      <c r="A37" s="3">
        <v>39052</v>
      </c>
      <c r="B37" s="223">
        <f t="shared" si="3"/>
        <v>144838.76923076922</v>
      </c>
      <c r="C37" s="83">
        <f>SUM(B26:B37)</f>
        <v>941452</v>
      </c>
      <c r="D37" s="83">
        <f>B37*12</f>
        <v>1738065.2307692305</v>
      </c>
      <c r="E37" s="84"/>
      <c r="R37" s="79"/>
      <c r="S37" s="79"/>
      <c r="T37" s="79"/>
      <c r="U37" s="79"/>
      <c r="V37" s="79"/>
      <c r="W37" s="79"/>
      <c r="X37" s="79"/>
      <c r="Y37" s="79"/>
      <c r="Z37" s="79"/>
      <c r="AA37" s="79"/>
    </row>
    <row r="38" spans="1:27" x14ac:dyDescent="0.25">
      <c r="A38" s="3">
        <v>39083</v>
      </c>
      <c r="B38" s="223">
        <f t="shared" ref="B38:B49" si="4">B37+$E$4</f>
        <v>157117.9842209073</v>
      </c>
      <c r="D38" s="84"/>
      <c r="E38" s="84"/>
      <c r="R38" s="79"/>
      <c r="S38" s="79"/>
      <c r="T38" s="79"/>
      <c r="U38" s="79"/>
      <c r="V38" s="79"/>
      <c r="W38" s="79"/>
      <c r="X38" s="79"/>
      <c r="Y38" s="79"/>
      <c r="Z38" s="79"/>
      <c r="AA38" s="79"/>
    </row>
    <row r="39" spans="1:27" x14ac:dyDescent="0.25">
      <c r="A39" s="3">
        <v>39114</v>
      </c>
      <c r="B39" s="223">
        <f t="shared" si="4"/>
        <v>169397.19921104537</v>
      </c>
      <c r="D39" s="84"/>
      <c r="E39" s="84"/>
    </row>
    <row r="40" spans="1:27" x14ac:dyDescent="0.25">
      <c r="A40" s="3">
        <v>39142</v>
      </c>
      <c r="B40" s="223">
        <f t="shared" si="4"/>
        <v>181676.41420118345</v>
      </c>
      <c r="D40" s="84"/>
      <c r="E40" s="84"/>
    </row>
    <row r="41" spans="1:27" x14ac:dyDescent="0.25">
      <c r="A41" s="3">
        <v>39173</v>
      </c>
      <c r="B41" s="223">
        <f t="shared" si="4"/>
        <v>193955.62919132152</v>
      </c>
      <c r="D41" s="84"/>
      <c r="E41" s="84"/>
    </row>
    <row r="42" spans="1:27" x14ac:dyDescent="0.25">
      <c r="A42" s="3">
        <v>39203</v>
      </c>
      <c r="B42" s="223">
        <f t="shared" si="4"/>
        <v>206234.8441814596</v>
      </c>
      <c r="D42" s="84"/>
      <c r="E42" s="84"/>
    </row>
    <row r="43" spans="1:27" x14ac:dyDescent="0.25">
      <c r="A43" s="3">
        <v>39234</v>
      </c>
      <c r="B43" s="223">
        <f t="shared" si="4"/>
        <v>218514.05917159768</v>
      </c>
      <c r="D43" s="84"/>
      <c r="E43" s="84"/>
    </row>
    <row r="44" spans="1:27" x14ac:dyDescent="0.25">
      <c r="A44" s="3">
        <v>39264</v>
      </c>
      <c r="B44" s="223">
        <f t="shared" si="4"/>
        <v>230793.27416173575</v>
      </c>
      <c r="D44" s="84"/>
      <c r="E44" s="84"/>
    </row>
    <row r="45" spans="1:27" x14ac:dyDescent="0.25">
      <c r="A45" s="3">
        <v>39295</v>
      </c>
      <c r="B45" s="223">
        <f t="shared" si="4"/>
        <v>243072.48915187383</v>
      </c>
      <c r="D45" s="84"/>
      <c r="E45" s="84"/>
    </row>
    <row r="46" spans="1:27" x14ac:dyDescent="0.25">
      <c r="A46" s="3">
        <v>39326</v>
      </c>
      <c r="B46" s="223">
        <f t="shared" si="4"/>
        <v>255351.70414201191</v>
      </c>
      <c r="D46" s="84"/>
      <c r="E46" s="84"/>
      <c r="K46" s="81"/>
    </row>
    <row r="47" spans="1:27" x14ac:dyDescent="0.25">
      <c r="A47" s="3">
        <v>39356</v>
      </c>
      <c r="B47" s="223">
        <f t="shared" si="4"/>
        <v>267630.91913214995</v>
      </c>
      <c r="D47" s="84"/>
      <c r="E47" s="84"/>
    </row>
    <row r="48" spans="1:27" x14ac:dyDescent="0.25">
      <c r="A48" s="3">
        <v>39387</v>
      </c>
      <c r="B48" s="223">
        <f t="shared" si="4"/>
        <v>279910.13412228803</v>
      </c>
      <c r="D48" s="84"/>
      <c r="E48" s="84"/>
      <c r="I48" s="81" t="s">
        <v>126</v>
      </c>
      <c r="J48" s="81"/>
    </row>
    <row r="49" spans="1:5" x14ac:dyDescent="0.25">
      <c r="A49" s="3">
        <v>39417</v>
      </c>
      <c r="B49" s="223">
        <f t="shared" si="4"/>
        <v>292189.34911242611</v>
      </c>
      <c r="C49" s="83">
        <f>SUM(B38:B49)</f>
        <v>2695844</v>
      </c>
      <c r="D49" s="83">
        <f>B49*12</f>
        <v>3506272.189349113</v>
      </c>
      <c r="E49" s="84"/>
    </row>
    <row r="50" spans="1:5" x14ac:dyDescent="0.25">
      <c r="A50" s="3">
        <v>39448</v>
      </c>
      <c r="B50" s="223">
        <f t="shared" ref="B50:B61" si="5">B49+$E$5</f>
        <v>293104.45565923234</v>
      </c>
      <c r="D50" s="84"/>
      <c r="E50" s="84"/>
    </row>
    <row r="51" spans="1:5" x14ac:dyDescent="0.25">
      <c r="A51" s="3">
        <v>39479</v>
      </c>
      <c r="B51" s="223">
        <f t="shared" si="5"/>
        <v>294019.56220603856</v>
      </c>
      <c r="D51" s="84"/>
      <c r="E51" s="84"/>
    </row>
    <row r="52" spans="1:5" x14ac:dyDescent="0.25">
      <c r="A52" s="3">
        <v>39508</v>
      </c>
      <c r="B52" s="223">
        <f t="shared" si="5"/>
        <v>294934.66875284479</v>
      </c>
      <c r="D52" s="84"/>
      <c r="E52" s="84"/>
    </row>
    <row r="53" spans="1:5" x14ac:dyDescent="0.25">
      <c r="A53" s="3">
        <v>39539</v>
      </c>
      <c r="B53" s="223">
        <f t="shared" si="5"/>
        <v>295849.77529965102</v>
      </c>
      <c r="D53" s="84"/>
      <c r="E53" s="84"/>
    </row>
    <row r="54" spans="1:5" x14ac:dyDescent="0.25">
      <c r="A54" s="3">
        <v>39569</v>
      </c>
      <c r="B54" s="223">
        <f t="shared" si="5"/>
        <v>296764.88184645725</v>
      </c>
      <c r="D54" s="84"/>
      <c r="E54" s="84"/>
    </row>
    <row r="55" spans="1:5" x14ac:dyDescent="0.25">
      <c r="A55" s="3">
        <v>39600</v>
      </c>
      <c r="B55" s="223">
        <f t="shared" si="5"/>
        <v>297679.98839326348</v>
      </c>
      <c r="D55" s="84"/>
      <c r="E55" s="84"/>
    </row>
    <row r="56" spans="1:5" x14ac:dyDescent="0.25">
      <c r="A56" s="3">
        <v>39630</v>
      </c>
      <c r="B56" s="223">
        <f t="shared" si="5"/>
        <v>298595.09494006971</v>
      </c>
      <c r="D56" s="84"/>
      <c r="E56" s="84"/>
    </row>
    <row r="57" spans="1:5" x14ac:dyDescent="0.25">
      <c r="A57" s="3">
        <v>39661</v>
      </c>
      <c r="B57" s="223">
        <f t="shared" si="5"/>
        <v>299510.20148687594</v>
      </c>
      <c r="D57" s="84"/>
      <c r="E57" s="84"/>
    </row>
    <row r="58" spans="1:5" x14ac:dyDescent="0.25">
      <c r="A58" s="3">
        <v>39692</v>
      </c>
      <c r="B58" s="223">
        <f t="shared" si="5"/>
        <v>300425.30803368217</v>
      </c>
      <c r="D58" s="84"/>
      <c r="E58" s="84"/>
    </row>
    <row r="59" spans="1:5" x14ac:dyDescent="0.25">
      <c r="A59" s="3">
        <v>39722</v>
      </c>
      <c r="B59" s="223">
        <f t="shared" si="5"/>
        <v>301340.4145804884</v>
      </c>
      <c r="D59" s="84"/>
      <c r="E59" s="84"/>
    </row>
    <row r="60" spans="1:5" x14ac:dyDescent="0.25">
      <c r="A60" s="3">
        <v>39753</v>
      </c>
      <c r="B60" s="223">
        <f t="shared" si="5"/>
        <v>302255.52112729463</v>
      </c>
      <c r="D60" s="84"/>
      <c r="E60" s="84"/>
    </row>
    <row r="61" spans="1:5" x14ac:dyDescent="0.25">
      <c r="A61" s="3">
        <v>39783</v>
      </c>
      <c r="B61" s="223">
        <f t="shared" si="5"/>
        <v>303170.62767410086</v>
      </c>
      <c r="C61" s="83">
        <f>SUM(B50:B61)</f>
        <v>3577650.4999999991</v>
      </c>
      <c r="D61" s="83">
        <f>B61*12</f>
        <v>3638047.5320892101</v>
      </c>
      <c r="E61" s="84"/>
    </row>
    <row r="62" spans="1:5" x14ac:dyDescent="0.25">
      <c r="A62" s="3">
        <v>39814</v>
      </c>
      <c r="B62" s="223">
        <f t="shared" ref="B62:B73" si="6">B61+$E$6</f>
        <v>327641.11444218789</v>
      </c>
      <c r="D62" s="84"/>
      <c r="E62" s="84"/>
    </row>
    <row r="63" spans="1:5" x14ac:dyDescent="0.25">
      <c r="A63" s="3">
        <v>39845</v>
      </c>
      <c r="B63" s="223">
        <f t="shared" si="6"/>
        <v>352111.60121027491</v>
      </c>
      <c r="D63" s="84"/>
      <c r="E63" s="84"/>
    </row>
    <row r="64" spans="1:5" x14ac:dyDescent="0.25">
      <c r="A64" s="3">
        <v>39873</v>
      </c>
      <c r="B64" s="223">
        <f t="shared" si="6"/>
        <v>376582.08797836193</v>
      </c>
      <c r="D64" s="84"/>
      <c r="E64" s="84"/>
    </row>
    <row r="65" spans="1:5" x14ac:dyDescent="0.25">
      <c r="A65" s="3">
        <v>39904</v>
      </c>
      <c r="B65" s="223">
        <f t="shared" si="6"/>
        <v>401052.57474644895</v>
      </c>
      <c r="D65" s="84"/>
      <c r="E65" s="84"/>
    </row>
    <row r="66" spans="1:5" x14ac:dyDescent="0.25">
      <c r="A66" s="3">
        <v>39934</v>
      </c>
      <c r="B66" s="223">
        <f t="shared" si="6"/>
        <v>425523.06151453598</v>
      </c>
      <c r="D66" s="84"/>
      <c r="E66" s="84"/>
    </row>
    <row r="67" spans="1:5" x14ac:dyDescent="0.25">
      <c r="A67" s="3">
        <v>39965</v>
      </c>
      <c r="B67" s="223">
        <f t="shared" si="6"/>
        <v>449993.548282623</v>
      </c>
      <c r="D67" s="84"/>
      <c r="E67" s="84"/>
    </row>
    <row r="68" spans="1:5" x14ac:dyDescent="0.25">
      <c r="A68" s="3">
        <v>39995</v>
      </c>
      <c r="B68" s="223">
        <f t="shared" si="6"/>
        <v>474464.03505071002</v>
      </c>
      <c r="D68" s="84"/>
      <c r="E68" s="84"/>
    </row>
    <row r="69" spans="1:5" x14ac:dyDescent="0.25">
      <c r="A69" s="3">
        <v>40026</v>
      </c>
      <c r="B69" s="223">
        <f t="shared" si="6"/>
        <v>498934.52181879705</v>
      </c>
      <c r="D69" s="84"/>
      <c r="E69" s="84"/>
    </row>
    <row r="70" spans="1:5" x14ac:dyDescent="0.25">
      <c r="A70" s="3">
        <v>40057</v>
      </c>
      <c r="B70" s="223">
        <f t="shared" si="6"/>
        <v>523405.00858688407</v>
      </c>
      <c r="D70" s="84"/>
      <c r="E70" s="84"/>
    </row>
    <row r="71" spans="1:5" x14ac:dyDescent="0.25">
      <c r="A71" s="3">
        <v>40087</v>
      </c>
      <c r="B71" s="223">
        <f t="shared" si="6"/>
        <v>547875.49535497115</v>
      </c>
      <c r="D71" s="84"/>
      <c r="E71" s="84"/>
    </row>
    <row r="72" spans="1:5" x14ac:dyDescent="0.25">
      <c r="A72" s="3">
        <v>40118</v>
      </c>
      <c r="B72" s="223">
        <f t="shared" si="6"/>
        <v>572345.98212305817</v>
      </c>
      <c r="D72" s="84"/>
      <c r="E72" s="84"/>
    </row>
    <row r="73" spans="1:5" x14ac:dyDescent="0.25">
      <c r="A73" s="3">
        <v>40148</v>
      </c>
      <c r="B73" s="223">
        <f t="shared" si="6"/>
        <v>596816.4688911452</v>
      </c>
      <c r="C73" s="83">
        <f>SUM(B62:B73)</f>
        <v>5546745.4999999981</v>
      </c>
      <c r="D73" s="83">
        <f>B73*12</f>
        <v>7161797.6266937423</v>
      </c>
      <c r="E73" s="84"/>
    </row>
    <row r="74" spans="1:5" x14ac:dyDescent="0.25">
      <c r="A74" s="3">
        <v>40179</v>
      </c>
      <c r="B74" s="223">
        <f t="shared" ref="B74:B85" si="7">B73+$E$7</f>
        <v>585759.9929078921</v>
      </c>
      <c r="D74" s="84"/>
      <c r="E74" s="84"/>
    </row>
    <row r="75" spans="1:5" x14ac:dyDescent="0.25">
      <c r="A75" s="3">
        <v>40210</v>
      </c>
      <c r="B75" s="223">
        <f t="shared" si="7"/>
        <v>574703.516924639</v>
      </c>
      <c r="D75" s="84"/>
      <c r="E75" s="84"/>
    </row>
    <row r="76" spans="1:5" x14ac:dyDescent="0.25">
      <c r="A76" s="3">
        <v>40238</v>
      </c>
      <c r="B76" s="223">
        <f t="shared" si="7"/>
        <v>563647.0409413859</v>
      </c>
      <c r="D76" s="84"/>
      <c r="E76" s="84"/>
    </row>
    <row r="77" spans="1:5" x14ac:dyDescent="0.25">
      <c r="A77" s="3">
        <v>40269</v>
      </c>
      <c r="B77" s="223">
        <f t="shared" si="7"/>
        <v>552590.5649581328</v>
      </c>
      <c r="D77" s="84"/>
      <c r="E77" s="84"/>
    </row>
    <row r="78" spans="1:5" x14ac:dyDescent="0.25">
      <c r="A78" s="3">
        <v>40299</v>
      </c>
      <c r="B78" s="223">
        <f t="shared" si="7"/>
        <v>541534.08897487971</v>
      </c>
      <c r="D78" s="84"/>
      <c r="E78" s="84"/>
    </row>
    <row r="79" spans="1:5" x14ac:dyDescent="0.25">
      <c r="A79" s="3">
        <v>40330</v>
      </c>
      <c r="B79" s="223">
        <f t="shared" si="7"/>
        <v>530477.61299162661</v>
      </c>
      <c r="D79" s="84"/>
      <c r="E79" s="84"/>
    </row>
    <row r="80" spans="1:5" x14ac:dyDescent="0.25">
      <c r="A80" s="3">
        <v>40360</v>
      </c>
      <c r="B80" s="223">
        <f t="shared" si="7"/>
        <v>519421.13700837351</v>
      </c>
      <c r="D80" s="84"/>
      <c r="E80" s="84"/>
    </row>
    <row r="81" spans="1:5" x14ac:dyDescent="0.25">
      <c r="A81" s="3">
        <v>40391</v>
      </c>
      <c r="B81" s="223">
        <f t="shared" si="7"/>
        <v>508364.66102512041</v>
      </c>
      <c r="D81" s="84"/>
      <c r="E81" s="84"/>
    </row>
    <row r="82" spans="1:5" x14ac:dyDescent="0.25">
      <c r="A82" s="3">
        <v>40422</v>
      </c>
      <c r="B82" s="223">
        <f t="shared" si="7"/>
        <v>497308.18504186731</v>
      </c>
      <c r="D82" s="84"/>
      <c r="E82" s="84"/>
    </row>
    <row r="83" spans="1:5" x14ac:dyDescent="0.25">
      <c r="A83" s="3">
        <v>40452</v>
      </c>
      <c r="B83" s="223">
        <f t="shared" si="7"/>
        <v>486251.70905861421</v>
      </c>
      <c r="D83" s="84"/>
      <c r="E83" s="84"/>
    </row>
    <row r="84" spans="1:5" x14ac:dyDescent="0.25">
      <c r="A84" s="3">
        <v>40483</v>
      </c>
      <c r="B84" s="223">
        <f t="shared" si="7"/>
        <v>475195.23307536112</v>
      </c>
      <c r="D84" s="84"/>
      <c r="E84" s="84"/>
    </row>
    <row r="85" spans="1:5" x14ac:dyDescent="0.25">
      <c r="A85" s="3">
        <v>40513</v>
      </c>
      <c r="B85" s="223">
        <f t="shared" si="7"/>
        <v>464138.75709210802</v>
      </c>
      <c r="C85" s="83">
        <f>SUM(B74:B85)</f>
        <v>6299392.5</v>
      </c>
      <c r="D85" s="83">
        <f>B85*12</f>
        <v>5569665.0851052962</v>
      </c>
      <c r="E85" s="84"/>
    </row>
    <row r="86" spans="1:5" x14ac:dyDescent="0.25">
      <c r="A86" s="3">
        <v>40544</v>
      </c>
      <c r="B86" s="223">
        <f t="shared" ref="B86:B97" si="8">B85+$E$8</f>
        <v>495224.05087280937</v>
      </c>
      <c r="D86" s="84"/>
      <c r="E86" s="84"/>
    </row>
    <row r="87" spans="1:5" x14ac:dyDescent="0.25">
      <c r="A87" s="3">
        <v>40575</v>
      </c>
      <c r="B87" s="223">
        <f t="shared" si="8"/>
        <v>526309.34465351072</v>
      </c>
      <c r="D87" s="84"/>
      <c r="E87" s="84"/>
    </row>
    <row r="88" spans="1:5" x14ac:dyDescent="0.25">
      <c r="A88" s="3">
        <v>40603</v>
      </c>
      <c r="B88" s="223">
        <f t="shared" si="8"/>
        <v>557394.63843421207</v>
      </c>
      <c r="D88" s="84"/>
      <c r="E88" s="84"/>
    </row>
    <row r="89" spans="1:5" x14ac:dyDescent="0.25">
      <c r="A89" s="3">
        <v>40634</v>
      </c>
      <c r="B89" s="223">
        <f t="shared" si="8"/>
        <v>588479.93221491342</v>
      </c>
      <c r="D89" s="84"/>
      <c r="E89" s="84"/>
    </row>
    <row r="90" spans="1:5" x14ac:dyDescent="0.25">
      <c r="A90" s="3">
        <v>40664</v>
      </c>
      <c r="B90" s="223">
        <f t="shared" si="8"/>
        <v>619565.22599561478</v>
      </c>
      <c r="D90" s="84"/>
      <c r="E90" s="84"/>
    </row>
    <row r="91" spans="1:5" x14ac:dyDescent="0.25">
      <c r="A91" s="3">
        <v>40695</v>
      </c>
      <c r="B91" s="223">
        <f t="shared" si="8"/>
        <v>650650.51977631613</v>
      </c>
      <c r="D91" s="84"/>
      <c r="E91" s="84"/>
    </row>
    <row r="92" spans="1:5" x14ac:dyDescent="0.25">
      <c r="A92" s="3">
        <v>40725</v>
      </c>
      <c r="B92" s="223">
        <f t="shared" si="8"/>
        <v>681735.81355701748</v>
      </c>
      <c r="D92" s="84"/>
      <c r="E92" s="84"/>
    </row>
    <row r="93" spans="1:5" x14ac:dyDescent="0.25">
      <c r="A93" s="3">
        <v>40756</v>
      </c>
      <c r="B93" s="223">
        <f t="shared" si="8"/>
        <v>712821.10733771883</v>
      </c>
      <c r="D93" s="84"/>
      <c r="E93" s="84"/>
    </row>
    <row r="94" spans="1:5" x14ac:dyDescent="0.25">
      <c r="A94" s="3">
        <v>40787</v>
      </c>
      <c r="B94" s="223">
        <f t="shared" si="8"/>
        <v>743906.40111842018</v>
      </c>
      <c r="D94" s="84"/>
      <c r="E94" s="84"/>
    </row>
    <row r="95" spans="1:5" x14ac:dyDescent="0.25">
      <c r="A95" s="3">
        <v>40817</v>
      </c>
      <c r="B95" s="223">
        <f t="shared" si="8"/>
        <v>774991.69489912153</v>
      </c>
      <c r="D95" s="84"/>
      <c r="E95" s="84"/>
    </row>
    <row r="96" spans="1:5" x14ac:dyDescent="0.25">
      <c r="A96" s="3">
        <v>40848</v>
      </c>
      <c r="B96" s="223">
        <f t="shared" si="8"/>
        <v>806076.98867982288</v>
      </c>
      <c r="D96" s="84"/>
      <c r="E96" s="84"/>
    </row>
    <row r="97" spans="1:5" x14ac:dyDescent="0.25">
      <c r="A97" s="3">
        <v>40878</v>
      </c>
      <c r="B97" s="223">
        <f t="shared" si="8"/>
        <v>837162.28246052423</v>
      </c>
      <c r="C97" s="83">
        <f>SUM(B86:B97)</f>
        <v>7994318</v>
      </c>
      <c r="D97" s="83">
        <f>B97*12</f>
        <v>10045947.389526291</v>
      </c>
      <c r="E97" s="84"/>
    </row>
    <row r="98" spans="1:5" x14ac:dyDescent="0.25">
      <c r="A98" s="3">
        <v>40909</v>
      </c>
      <c r="B98" s="223">
        <f t="shared" ref="B98:B109" si="9">B97+$E$9</f>
        <v>837479.38003070001</v>
      </c>
      <c r="D98" s="84"/>
      <c r="E98" s="84"/>
    </row>
    <row r="99" spans="1:5" x14ac:dyDescent="0.25">
      <c r="A99" s="3">
        <v>40940</v>
      </c>
      <c r="B99" s="223">
        <f t="shared" si="9"/>
        <v>837796.47760087578</v>
      </c>
      <c r="D99" s="84"/>
      <c r="E99" s="84"/>
    </row>
    <row r="100" spans="1:5" x14ac:dyDescent="0.25">
      <c r="A100" s="3">
        <v>40969</v>
      </c>
      <c r="B100" s="223">
        <f t="shared" si="9"/>
        <v>838113.57517105155</v>
      </c>
      <c r="D100" s="84"/>
      <c r="E100" s="84"/>
    </row>
    <row r="101" spans="1:5" x14ac:dyDescent="0.25">
      <c r="A101" s="3">
        <v>41000</v>
      </c>
      <c r="B101" s="223">
        <f t="shared" si="9"/>
        <v>838430.67274122732</v>
      </c>
      <c r="D101" s="84"/>
      <c r="E101" s="84"/>
    </row>
    <row r="102" spans="1:5" x14ac:dyDescent="0.25">
      <c r="A102" s="3">
        <v>41030</v>
      </c>
      <c r="B102" s="223">
        <f t="shared" si="9"/>
        <v>838747.77031140309</v>
      </c>
      <c r="D102" s="84"/>
      <c r="E102" s="84"/>
    </row>
    <row r="103" spans="1:5" x14ac:dyDescent="0.25">
      <c r="A103" s="3">
        <v>41061</v>
      </c>
      <c r="B103" s="223">
        <f t="shared" si="9"/>
        <v>839064.86788157886</v>
      </c>
      <c r="D103" s="84"/>
      <c r="E103" s="84"/>
    </row>
    <row r="104" spans="1:5" x14ac:dyDescent="0.25">
      <c r="A104" s="3">
        <v>41091</v>
      </c>
      <c r="B104" s="223">
        <f t="shared" si="9"/>
        <v>839381.96545175463</v>
      </c>
      <c r="D104" s="84"/>
      <c r="E104" s="84"/>
    </row>
    <row r="105" spans="1:5" x14ac:dyDescent="0.25">
      <c r="A105" s="3">
        <v>41122</v>
      </c>
      <c r="B105" s="223">
        <f t="shared" si="9"/>
        <v>839699.0630219304</v>
      </c>
      <c r="D105" s="84"/>
      <c r="E105" s="84"/>
    </row>
    <row r="106" spans="1:5" x14ac:dyDescent="0.25">
      <c r="A106" s="3">
        <v>41153</v>
      </c>
      <c r="B106" s="223">
        <f t="shared" si="9"/>
        <v>840016.16059210617</v>
      </c>
      <c r="D106" s="84"/>
      <c r="E106" s="84"/>
    </row>
    <row r="107" spans="1:5" x14ac:dyDescent="0.25">
      <c r="A107" s="3">
        <v>41183</v>
      </c>
      <c r="B107" s="223">
        <f t="shared" si="9"/>
        <v>840333.25816228194</v>
      </c>
      <c r="D107" s="84"/>
      <c r="E107" s="84"/>
    </row>
    <row r="108" spans="1:5" x14ac:dyDescent="0.25">
      <c r="A108" s="3">
        <v>41214</v>
      </c>
      <c r="B108" s="223">
        <f t="shared" si="9"/>
        <v>840650.35573245771</v>
      </c>
      <c r="D108" s="84"/>
      <c r="E108" s="84"/>
    </row>
    <row r="109" spans="1:5" x14ac:dyDescent="0.25">
      <c r="A109" s="3">
        <v>41244</v>
      </c>
      <c r="B109" s="223">
        <f t="shared" si="9"/>
        <v>840967.45330263348</v>
      </c>
      <c r="C109" s="83">
        <f>SUM(B98:B109)</f>
        <v>10070681</v>
      </c>
      <c r="D109" s="83">
        <f>B109*12</f>
        <v>10091609.439631602</v>
      </c>
      <c r="E109" s="84"/>
    </row>
    <row r="110" spans="1:5" x14ac:dyDescent="0.25">
      <c r="A110" s="3">
        <v>41275</v>
      </c>
      <c r="B110" s="223">
        <f t="shared" ref="B110:B121" si="10">B109+$E$10</f>
        <v>868866.33869197196</v>
      </c>
      <c r="D110" s="84"/>
      <c r="E110" s="84"/>
    </row>
    <row r="111" spans="1:5" x14ac:dyDescent="0.25">
      <c r="A111" s="3">
        <v>41306</v>
      </c>
      <c r="B111" s="223">
        <f t="shared" si="10"/>
        <v>896765.22408131044</v>
      </c>
      <c r="D111" s="84"/>
      <c r="E111" s="84"/>
    </row>
    <row r="112" spans="1:5" x14ac:dyDescent="0.25">
      <c r="A112" s="3">
        <v>41334</v>
      </c>
      <c r="B112" s="223">
        <f t="shared" si="10"/>
        <v>924664.10947064892</v>
      </c>
      <c r="D112" s="84"/>
      <c r="E112" s="84"/>
    </row>
    <row r="113" spans="1:5" x14ac:dyDescent="0.25">
      <c r="A113" s="3">
        <v>41365</v>
      </c>
      <c r="B113" s="223">
        <f t="shared" si="10"/>
        <v>952562.9948599874</v>
      </c>
      <c r="D113" s="84"/>
      <c r="E113" s="84"/>
    </row>
    <row r="114" spans="1:5" x14ac:dyDescent="0.25">
      <c r="A114" s="3">
        <v>41395</v>
      </c>
      <c r="B114" s="223">
        <f t="shared" si="10"/>
        <v>980461.88024932588</v>
      </c>
      <c r="D114" s="84"/>
      <c r="E114" s="84"/>
    </row>
    <row r="115" spans="1:5" x14ac:dyDescent="0.25">
      <c r="A115" s="3">
        <v>41426</v>
      </c>
      <c r="B115" s="223">
        <f t="shared" si="10"/>
        <v>1008360.7656386644</v>
      </c>
      <c r="D115" s="84"/>
      <c r="E115" s="84"/>
    </row>
    <row r="116" spans="1:5" x14ac:dyDescent="0.25">
      <c r="A116" s="3">
        <v>41456</v>
      </c>
      <c r="B116" s="223">
        <f t="shared" si="10"/>
        <v>1036259.6510280028</v>
      </c>
      <c r="D116" s="84"/>
      <c r="E116" s="84"/>
    </row>
    <row r="117" spans="1:5" x14ac:dyDescent="0.25">
      <c r="A117" s="3">
        <v>41487</v>
      </c>
      <c r="B117" s="223">
        <f t="shared" si="10"/>
        <v>1064158.5364173413</v>
      </c>
      <c r="D117" s="84"/>
      <c r="E117" s="84"/>
    </row>
    <row r="118" spans="1:5" x14ac:dyDescent="0.25">
      <c r="A118" s="3">
        <v>41518</v>
      </c>
      <c r="B118" s="223">
        <f t="shared" si="10"/>
        <v>1092057.4218066798</v>
      </c>
      <c r="D118" s="84"/>
      <c r="E118" s="84"/>
    </row>
    <row r="119" spans="1:5" x14ac:dyDescent="0.25">
      <c r="A119" s="3">
        <v>41548</v>
      </c>
      <c r="B119" s="223">
        <f t="shared" si="10"/>
        <v>1119956.3071960183</v>
      </c>
      <c r="D119" s="84"/>
      <c r="E119" s="84"/>
    </row>
    <row r="120" spans="1:5" x14ac:dyDescent="0.25">
      <c r="A120" s="3">
        <v>41579</v>
      </c>
      <c r="B120" s="223">
        <f t="shared" si="10"/>
        <v>1147855.1925853568</v>
      </c>
      <c r="D120" s="84"/>
      <c r="E120" s="84"/>
    </row>
    <row r="121" spans="1:5" x14ac:dyDescent="0.25">
      <c r="A121" s="3">
        <v>41609</v>
      </c>
      <c r="B121" s="223">
        <f t="shared" si="10"/>
        <v>1175754.0779746952</v>
      </c>
      <c r="C121" s="83">
        <f>SUM(B110:B121)</f>
        <v>12267722.500000004</v>
      </c>
      <c r="D121" s="83">
        <f>B121*12</f>
        <v>14109048.935696343</v>
      </c>
      <c r="E121" s="84"/>
    </row>
    <row r="122" spans="1:5" x14ac:dyDescent="0.25">
      <c r="A122" s="3">
        <v>41640</v>
      </c>
      <c r="B122" s="223">
        <f t="shared" ref="B122:B133" si="11">+B121+$E$11</f>
        <v>1182399.7582862806</v>
      </c>
      <c r="D122" s="84"/>
      <c r="E122" s="84"/>
    </row>
    <row r="123" spans="1:5" x14ac:dyDescent="0.25">
      <c r="A123" s="3">
        <v>41671</v>
      </c>
      <c r="B123" s="223">
        <f t="shared" si="11"/>
        <v>1189045.4385978659</v>
      </c>
      <c r="D123" s="84"/>
      <c r="E123" s="84"/>
    </row>
    <row r="124" spans="1:5" x14ac:dyDescent="0.25">
      <c r="A124" s="3">
        <v>41699</v>
      </c>
      <c r="B124" s="223">
        <f t="shared" si="11"/>
        <v>1195691.1189094512</v>
      </c>
      <c r="D124" s="84"/>
      <c r="E124" s="84"/>
    </row>
    <row r="125" spans="1:5" x14ac:dyDescent="0.25">
      <c r="A125" s="3">
        <v>41730</v>
      </c>
      <c r="B125" s="223">
        <f t="shared" si="11"/>
        <v>1202336.7992210365</v>
      </c>
      <c r="D125" s="84"/>
      <c r="E125" s="84"/>
    </row>
    <row r="126" spans="1:5" x14ac:dyDescent="0.25">
      <c r="A126" s="3">
        <v>41760</v>
      </c>
      <c r="B126" s="223">
        <f t="shared" si="11"/>
        <v>1208982.4795326218</v>
      </c>
      <c r="D126" s="84"/>
      <c r="E126" s="84"/>
    </row>
    <row r="127" spans="1:5" x14ac:dyDescent="0.25">
      <c r="A127" s="3">
        <v>41791</v>
      </c>
      <c r="B127" s="223">
        <f t="shared" si="11"/>
        <v>1215628.1598442071</v>
      </c>
      <c r="D127" s="84"/>
      <c r="E127" s="84"/>
    </row>
    <row r="128" spans="1:5" x14ac:dyDescent="0.25">
      <c r="A128" s="3">
        <v>41821</v>
      </c>
      <c r="B128" s="223">
        <f t="shared" si="11"/>
        <v>1222273.8401557924</v>
      </c>
      <c r="D128" s="84"/>
      <c r="E128" s="84"/>
    </row>
    <row r="129" spans="1:5" x14ac:dyDescent="0.25">
      <c r="A129" s="3">
        <v>41852</v>
      </c>
      <c r="B129" s="223">
        <f t="shared" si="11"/>
        <v>1228919.5204673777</v>
      </c>
      <c r="D129" s="84"/>
      <c r="E129" s="84"/>
    </row>
    <row r="130" spans="1:5" x14ac:dyDescent="0.25">
      <c r="A130" s="3">
        <v>41883</v>
      </c>
      <c r="B130" s="223">
        <f t="shared" si="11"/>
        <v>1235565.200778963</v>
      </c>
      <c r="D130" s="84"/>
      <c r="E130" s="84"/>
    </row>
    <row r="131" spans="1:5" x14ac:dyDescent="0.25">
      <c r="A131" s="3">
        <v>41913</v>
      </c>
      <c r="B131" s="223">
        <f t="shared" si="11"/>
        <v>1242210.8810905484</v>
      </c>
      <c r="D131" s="84"/>
      <c r="E131" s="84"/>
    </row>
    <row r="132" spans="1:5" x14ac:dyDescent="0.25">
      <c r="A132" s="3">
        <v>41944</v>
      </c>
      <c r="B132" s="223">
        <f t="shared" si="11"/>
        <v>1248856.5614021337</v>
      </c>
      <c r="D132" s="84"/>
      <c r="E132" s="84"/>
    </row>
    <row r="133" spans="1:5" x14ac:dyDescent="0.25">
      <c r="A133" s="3">
        <v>41974</v>
      </c>
      <c r="B133" s="223">
        <f t="shared" si="11"/>
        <v>1255502.241713719</v>
      </c>
      <c r="C133" s="83">
        <f>SUM(B122:B133)</f>
        <v>14627411.999999998</v>
      </c>
      <c r="D133" s="83">
        <f>B133*12</f>
        <v>15066026.900564628</v>
      </c>
      <c r="E133" s="84"/>
    </row>
    <row r="134" spans="1:5" x14ac:dyDescent="0.25">
      <c r="A134" s="3">
        <v>42005</v>
      </c>
      <c r="B134" s="223">
        <f>+B133+$E$12</f>
        <v>1289216.6788859672</v>
      </c>
    </row>
    <row r="135" spans="1:5" x14ac:dyDescent="0.25">
      <c r="A135" s="3">
        <v>42036</v>
      </c>
      <c r="B135" s="223">
        <f t="shared" ref="B135:B145" si="12">+B134+$E$12</f>
        <v>1322931.1160582155</v>
      </c>
    </row>
    <row r="136" spans="1:5" x14ac:dyDescent="0.25">
      <c r="A136" s="3">
        <v>42064</v>
      </c>
      <c r="B136" s="223">
        <f t="shared" si="12"/>
        <v>1356645.5532304638</v>
      </c>
    </row>
    <row r="137" spans="1:5" x14ac:dyDescent="0.25">
      <c r="A137" s="3">
        <v>42095</v>
      </c>
      <c r="B137" s="223">
        <f t="shared" si="12"/>
        <v>1390359.990402712</v>
      </c>
    </row>
    <row r="138" spans="1:5" x14ac:dyDescent="0.25">
      <c r="A138" s="3">
        <v>42125</v>
      </c>
      <c r="B138" s="223">
        <f t="shared" si="12"/>
        <v>1424074.4275749603</v>
      </c>
    </row>
    <row r="139" spans="1:5" x14ac:dyDescent="0.25">
      <c r="A139" s="3">
        <v>42156</v>
      </c>
      <c r="B139" s="223">
        <f t="shared" si="12"/>
        <v>1457788.8647472085</v>
      </c>
    </row>
    <row r="140" spans="1:5" x14ac:dyDescent="0.25">
      <c r="A140" s="3">
        <v>42186</v>
      </c>
      <c r="B140" s="223">
        <f t="shared" si="12"/>
        <v>1491503.3019194568</v>
      </c>
    </row>
    <row r="141" spans="1:5" x14ac:dyDescent="0.25">
      <c r="A141" s="3">
        <v>42217</v>
      </c>
      <c r="B141" s="223">
        <f t="shared" si="12"/>
        <v>1525217.7390917051</v>
      </c>
    </row>
    <row r="142" spans="1:5" x14ac:dyDescent="0.25">
      <c r="A142" s="3">
        <v>42248</v>
      </c>
      <c r="B142" s="223">
        <f t="shared" si="12"/>
        <v>1558932.1762639533</v>
      </c>
    </row>
    <row r="143" spans="1:5" x14ac:dyDescent="0.25">
      <c r="A143" s="3">
        <v>42278</v>
      </c>
      <c r="B143" s="223">
        <f t="shared" si="12"/>
        <v>1592646.6134362016</v>
      </c>
    </row>
    <row r="144" spans="1:5" x14ac:dyDescent="0.25">
      <c r="A144" s="3">
        <v>42309</v>
      </c>
      <c r="B144" s="223">
        <f t="shared" si="12"/>
        <v>1626361.0506084498</v>
      </c>
    </row>
    <row r="145" spans="1:4" x14ac:dyDescent="0.25">
      <c r="A145" s="3">
        <v>42339</v>
      </c>
      <c r="B145" s="223">
        <f t="shared" si="12"/>
        <v>1660075.4877806981</v>
      </c>
      <c r="C145" s="83">
        <f>SUM(B134:B145)</f>
        <v>17695752.999999993</v>
      </c>
      <c r="D145" s="83">
        <f>B145*12</f>
        <v>19920905.853368379</v>
      </c>
    </row>
    <row r="146" spans="1:4" x14ac:dyDescent="0.25">
      <c r="A146" s="3">
        <v>42370</v>
      </c>
      <c r="B146" s="223">
        <f>+B145+$E$13</f>
        <v>1703811.0729939239</v>
      </c>
    </row>
    <row r="147" spans="1:4" x14ac:dyDescent="0.25">
      <c r="A147" s="3">
        <v>42401</v>
      </c>
      <c r="B147" s="223">
        <f t="shared" ref="B147:B157" si="13">+B146+$E$13</f>
        <v>1747546.6582071497</v>
      </c>
    </row>
    <row r="148" spans="1:4" x14ac:dyDescent="0.25">
      <c r="A148" s="3">
        <v>42430</v>
      </c>
      <c r="B148" s="223">
        <f t="shared" si="13"/>
        <v>1791282.2434203755</v>
      </c>
    </row>
    <row r="149" spans="1:4" x14ac:dyDescent="0.25">
      <c r="A149" s="3">
        <v>42461</v>
      </c>
      <c r="B149" s="223">
        <f t="shared" si="13"/>
        <v>1835017.8286336013</v>
      </c>
    </row>
    <row r="150" spans="1:4" x14ac:dyDescent="0.25">
      <c r="A150" s="3">
        <v>42491</v>
      </c>
      <c r="B150" s="223">
        <f t="shared" si="13"/>
        <v>1878753.4138468271</v>
      </c>
    </row>
    <row r="151" spans="1:4" x14ac:dyDescent="0.25">
      <c r="A151" s="3">
        <v>42522</v>
      </c>
      <c r="B151" s="223">
        <f t="shared" si="13"/>
        <v>1922488.9990600529</v>
      </c>
    </row>
    <row r="152" spans="1:4" x14ac:dyDescent="0.25">
      <c r="A152" s="3">
        <v>42552</v>
      </c>
      <c r="B152" s="223">
        <f t="shared" si="13"/>
        <v>1966224.5842732787</v>
      </c>
    </row>
    <row r="153" spans="1:4" x14ac:dyDescent="0.25">
      <c r="A153" s="3">
        <v>42583</v>
      </c>
      <c r="B153" s="223">
        <f t="shared" si="13"/>
        <v>2009960.1694865045</v>
      </c>
    </row>
    <row r="154" spans="1:4" x14ac:dyDescent="0.25">
      <c r="A154" s="3">
        <v>42614</v>
      </c>
      <c r="B154" s="223">
        <f t="shared" si="13"/>
        <v>2053695.7546997303</v>
      </c>
    </row>
    <row r="155" spans="1:4" x14ac:dyDescent="0.25">
      <c r="A155" s="3">
        <v>42644</v>
      </c>
      <c r="B155" s="223">
        <f t="shared" si="13"/>
        <v>2097431.3399129561</v>
      </c>
    </row>
    <row r="156" spans="1:4" x14ac:dyDescent="0.25">
      <c r="A156" s="3">
        <v>42675</v>
      </c>
      <c r="B156" s="223">
        <f t="shared" si="13"/>
        <v>2141166.9251261819</v>
      </c>
    </row>
    <row r="157" spans="1:4" x14ac:dyDescent="0.25">
      <c r="A157" s="3">
        <v>42705</v>
      </c>
      <c r="B157" s="223">
        <f t="shared" si="13"/>
        <v>2184902.5103394077</v>
      </c>
      <c r="C157" s="83">
        <f>SUM(B146:B157)</f>
        <v>23332281.499999985</v>
      </c>
      <c r="D157" s="83">
        <f>B157*12</f>
        <v>26218830.124072894</v>
      </c>
    </row>
    <row r="158" spans="1:4" x14ac:dyDescent="0.25">
      <c r="A158" s="3">
        <v>42736</v>
      </c>
      <c r="B158" s="223">
        <f>+B157+$E$14</f>
        <v>2219103.2651589862</v>
      </c>
    </row>
    <row r="159" spans="1:4" x14ac:dyDescent="0.25">
      <c r="A159" s="3">
        <v>42767</v>
      </c>
      <c r="B159" s="223">
        <f t="shared" ref="B159:B169" si="14">+B158+$E$14</f>
        <v>2253304.0199785647</v>
      </c>
    </row>
    <row r="160" spans="1:4" x14ac:dyDescent="0.25">
      <c r="A160" s="3">
        <v>42795</v>
      </c>
      <c r="B160" s="223">
        <f t="shared" si="14"/>
        <v>2287504.7747981432</v>
      </c>
    </row>
    <row r="161" spans="1:4" x14ac:dyDescent="0.25">
      <c r="A161" s="3">
        <v>42826</v>
      </c>
      <c r="B161" s="223">
        <f t="shared" si="14"/>
        <v>2321705.5296177217</v>
      </c>
    </row>
    <row r="162" spans="1:4" x14ac:dyDescent="0.25">
      <c r="A162" s="3">
        <v>42856</v>
      </c>
      <c r="B162" s="223">
        <f t="shared" si="14"/>
        <v>2355906.2844373002</v>
      </c>
    </row>
    <row r="163" spans="1:4" x14ac:dyDescent="0.25">
      <c r="A163" s="3">
        <v>42887</v>
      </c>
      <c r="B163" s="223">
        <f t="shared" si="14"/>
        <v>2390107.0392568787</v>
      </c>
    </row>
    <row r="164" spans="1:4" x14ac:dyDescent="0.25">
      <c r="A164" s="3">
        <v>42917</v>
      </c>
      <c r="B164" s="223">
        <f t="shared" si="14"/>
        <v>2424307.7940764572</v>
      </c>
    </row>
    <row r="165" spans="1:4" x14ac:dyDescent="0.25">
      <c r="A165" s="3">
        <v>42948</v>
      </c>
      <c r="B165" s="223">
        <f t="shared" si="14"/>
        <v>2458508.5488960356</v>
      </c>
    </row>
    <row r="166" spans="1:4" x14ac:dyDescent="0.25">
      <c r="A166" s="3">
        <v>42979</v>
      </c>
      <c r="B166" s="223">
        <f t="shared" si="14"/>
        <v>2492709.3037156141</v>
      </c>
    </row>
    <row r="167" spans="1:4" x14ac:dyDescent="0.25">
      <c r="A167" s="3">
        <v>43009</v>
      </c>
      <c r="B167" s="223">
        <f t="shared" si="14"/>
        <v>2526910.0585351926</v>
      </c>
    </row>
    <row r="168" spans="1:4" x14ac:dyDescent="0.25">
      <c r="A168" s="3">
        <v>43040</v>
      </c>
      <c r="B168" s="223">
        <f t="shared" si="14"/>
        <v>2561110.8133547711</v>
      </c>
    </row>
    <row r="169" spans="1:4" x14ac:dyDescent="0.25">
      <c r="A169" s="3">
        <v>43070</v>
      </c>
      <c r="B169" s="223">
        <f t="shared" si="14"/>
        <v>2595311.5681743496</v>
      </c>
      <c r="C169" s="83">
        <f>SUM(B158:B169)</f>
        <v>28886489.000000015</v>
      </c>
      <c r="D169" s="83">
        <f>B169*12</f>
        <v>31143738.818092197</v>
      </c>
    </row>
    <row r="170" spans="1:4" x14ac:dyDescent="0.25">
      <c r="A170" s="3">
        <v>43101</v>
      </c>
      <c r="B170" s="223">
        <f>+B169+$E$15</f>
        <v>2611844.198711629</v>
      </c>
    </row>
    <row r="171" spans="1:4" x14ac:dyDescent="0.25">
      <c r="A171" s="3">
        <v>43132</v>
      </c>
      <c r="B171" s="223">
        <f t="shared" ref="B171:B181" si="15">+B170+$E$15</f>
        <v>2628376.8292489084</v>
      </c>
    </row>
    <row r="172" spans="1:4" x14ac:dyDescent="0.25">
      <c r="A172" s="3">
        <v>43160</v>
      </c>
      <c r="B172" s="223">
        <f t="shared" si="15"/>
        <v>2644909.4597861879</v>
      </c>
    </row>
    <row r="173" spans="1:4" x14ac:dyDescent="0.25">
      <c r="A173" s="3">
        <v>43191</v>
      </c>
      <c r="B173" s="223">
        <f t="shared" si="15"/>
        <v>2661442.0903234673</v>
      </c>
    </row>
    <row r="174" spans="1:4" x14ac:dyDescent="0.25">
      <c r="A174" s="3">
        <v>43221</v>
      </c>
      <c r="B174" s="223">
        <f t="shared" si="15"/>
        <v>2677974.7208607467</v>
      </c>
    </row>
    <row r="175" spans="1:4" x14ac:dyDescent="0.25">
      <c r="A175" s="3">
        <v>43252</v>
      </c>
      <c r="B175" s="223">
        <f t="shared" si="15"/>
        <v>2694507.3513980261</v>
      </c>
    </row>
    <row r="176" spans="1:4" x14ac:dyDescent="0.25">
      <c r="A176" s="3">
        <v>43282</v>
      </c>
      <c r="B176" s="223">
        <f t="shared" si="15"/>
        <v>2711039.9819353055</v>
      </c>
    </row>
    <row r="177" spans="1:4" x14ac:dyDescent="0.25">
      <c r="A177" s="3">
        <v>43313</v>
      </c>
      <c r="B177" s="223">
        <f t="shared" si="15"/>
        <v>2727572.6124725849</v>
      </c>
    </row>
    <row r="178" spans="1:4" x14ac:dyDescent="0.25">
      <c r="A178" s="3">
        <v>43344</v>
      </c>
      <c r="B178" s="223">
        <f t="shared" si="15"/>
        <v>2744105.2430098644</v>
      </c>
    </row>
    <row r="179" spans="1:4" x14ac:dyDescent="0.25">
      <c r="A179" s="3">
        <v>43374</v>
      </c>
      <c r="B179" s="223">
        <f t="shared" si="15"/>
        <v>2760637.8735471438</v>
      </c>
    </row>
    <row r="180" spans="1:4" x14ac:dyDescent="0.25">
      <c r="A180" s="3">
        <v>43405</v>
      </c>
      <c r="B180" s="223">
        <f t="shared" si="15"/>
        <v>2777170.5040844232</v>
      </c>
    </row>
    <row r="181" spans="1:4" x14ac:dyDescent="0.25">
      <c r="A181" s="3">
        <v>43435</v>
      </c>
      <c r="B181" s="223">
        <f t="shared" si="15"/>
        <v>2793703.1346217026</v>
      </c>
      <c r="C181" s="83">
        <f>SUM(B170:B181)</f>
        <v>32433283.999999993</v>
      </c>
      <c r="D181" s="83">
        <f>B181*12</f>
        <v>33524437.615460433</v>
      </c>
    </row>
    <row r="182" spans="1:4" x14ac:dyDescent="0.25">
      <c r="A182" s="3">
        <v>43466</v>
      </c>
      <c r="B182" s="223">
        <f>+B181+$E$16</f>
        <v>2797408.3767311843</v>
      </c>
    </row>
    <row r="183" spans="1:4" x14ac:dyDescent="0.25">
      <c r="A183" s="3">
        <v>43497</v>
      </c>
      <c r="B183" s="223">
        <f t="shared" ref="B183:B193" si="16">+B182+$E$16</f>
        <v>2801113.618840666</v>
      </c>
    </row>
    <row r="184" spans="1:4" x14ac:dyDescent="0.25">
      <c r="A184" s="3">
        <v>43525</v>
      </c>
      <c r="B184" s="223">
        <f t="shared" si="16"/>
        <v>2804818.8609501477</v>
      </c>
    </row>
    <row r="185" spans="1:4" x14ac:dyDescent="0.25">
      <c r="A185" s="3">
        <v>43556</v>
      </c>
      <c r="B185" s="223">
        <f t="shared" si="16"/>
        <v>2808524.1030596294</v>
      </c>
    </row>
    <row r="186" spans="1:4" x14ac:dyDescent="0.25">
      <c r="A186" s="3">
        <v>43586</v>
      </c>
      <c r="B186" s="223">
        <f t="shared" si="16"/>
        <v>2812229.3451691112</v>
      </c>
    </row>
    <row r="187" spans="1:4" x14ac:dyDescent="0.25">
      <c r="A187" s="3">
        <v>43617</v>
      </c>
      <c r="B187" s="223">
        <f t="shared" si="16"/>
        <v>2815934.5872785929</v>
      </c>
    </row>
    <row r="188" spans="1:4" x14ac:dyDescent="0.25">
      <c r="A188" s="3">
        <v>43647</v>
      </c>
      <c r="B188" s="223">
        <f t="shared" si="16"/>
        <v>2819639.8293880746</v>
      </c>
    </row>
    <row r="189" spans="1:4" x14ac:dyDescent="0.25">
      <c r="A189" s="3">
        <v>43678</v>
      </c>
      <c r="B189" s="223">
        <f t="shared" si="16"/>
        <v>2823345.0714975563</v>
      </c>
    </row>
    <row r="190" spans="1:4" x14ac:dyDescent="0.25">
      <c r="A190" s="3">
        <v>43709</v>
      </c>
      <c r="B190" s="223">
        <f t="shared" si="16"/>
        <v>2827050.313607038</v>
      </c>
    </row>
    <row r="191" spans="1:4" x14ac:dyDescent="0.25">
      <c r="A191" s="3">
        <v>43739</v>
      </c>
      <c r="B191" s="223">
        <f t="shared" si="16"/>
        <v>2830755.5557165197</v>
      </c>
    </row>
    <row r="192" spans="1:4" x14ac:dyDescent="0.25">
      <c r="A192" s="3">
        <v>43770</v>
      </c>
      <c r="B192" s="223">
        <f t="shared" si="16"/>
        <v>2834460.7978260014</v>
      </c>
    </row>
    <row r="193" spans="1:4" x14ac:dyDescent="0.25">
      <c r="A193" s="3">
        <v>43800</v>
      </c>
      <c r="B193" s="223">
        <f t="shared" si="16"/>
        <v>2838166.0399354831</v>
      </c>
      <c r="C193" s="83">
        <f>SUM(B182:B193)</f>
        <v>33813446.5</v>
      </c>
      <c r="D193" s="83">
        <f>B193*12</f>
        <v>34057992.479225799</v>
      </c>
    </row>
    <row r="194" spans="1:4" x14ac:dyDescent="0.25">
      <c r="A194" s="3">
        <v>43831</v>
      </c>
      <c r="B194" s="223">
        <f>+B193+$E$17</f>
        <v>2835965.5145607935</v>
      </c>
    </row>
    <row r="195" spans="1:4" x14ac:dyDescent="0.25">
      <c r="A195" s="3">
        <v>43862</v>
      </c>
      <c r="B195" s="223">
        <f t="shared" ref="B195:B205" si="17">+B194+$E$17</f>
        <v>2833764.9891861039</v>
      </c>
    </row>
    <row r="196" spans="1:4" x14ac:dyDescent="0.25">
      <c r="A196" s="3">
        <v>43891</v>
      </c>
      <c r="B196" s="223">
        <f t="shared" si="17"/>
        <v>2831564.4638114143</v>
      </c>
    </row>
    <row r="197" spans="1:4" x14ac:dyDescent="0.25">
      <c r="A197" s="3">
        <v>43922</v>
      </c>
      <c r="B197" s="223">
        <f t="shared" si="17"/>
        <v>2829363.9384367247</v>
      </c>
    </row>
    <row r="198" spans="1:4" x14ac:dyDescent="0.25">
      <c r="A198" s="3">
        <v>43952</v>
      </c>
      <c r="B198" s="223">
        <f t="shared" si="17"/>
        <v>2827163.4130620351</v>
      </c>
    </row>
    <row r="199" spans="1:4" x14ac:dyDescent="0.25">
      <c r="A199" s="3">
        <v>43983</v>
      </c>
      <c r="B199" s="223">
        <f t="shared" si="17"/>
        <v>2824962.8876873455</v>
      </c>
    </row>
    <row r="200" spans="1:4" x14ac:dyDescent="0.25">
      <c r="A200" s="3">
        <v>44013</v>
      </c>
      <c r="B200" s="223">
        <f t="shared" si="17"/>
        <v>2822762.3623126559</v>
      </c>
    </row>
    <row r="201" spans="1:4" x14ac:dyDescent="0.25">
      <c r="A201" s="3">
        <v>44044</v>
      </c>
      <c r="B201" s="223">
        <f t="shared" si="17"/>
        <v>2820561.8369379663</v>
      </c>
    </row>
    <row r="202" spans="1:4" x14ac:dyDescent="0.25">
      <c r="A202" s="3">
        <v>44075</v>
      </c>
      <c r="B202" s="223">
        <f t="shared" si="17"/>
        <v>2818361.3115632767</v>
      </c>
    </row>
    <row r="203" spans="1:4" x14ac:dyDescent="0.25">
      <c r="A203" s="3">
        <v>44105</v>
      </c>
      <c r="B203" s="223">
        <f t="shared" si="17"/>
        <v>2816160.7861885871</v>
      </c>
    </row>
    <row r="204" spans="1:4" x14ac:dyDescent="0.25">
      <c r="A204" s="3">
        <v>44136</v>
      </c>
      <c r="B204" s="223">
        <f t="shared" si="17"/>
        <v>2813960.2608138975</v>
      </c>
    </row>
    <row r="205" spans="1:4" x14ac:dyDescent="0.25">
      <c r="A205" s="3">
        <v>44166</v>
      </c>
      <c r="B205" s="223">
        <f t="shared" si="17"/>
        <v>2811759.7354392079</v>
      </c>
      <c r="C205" s="83">
        <f>SUM(B194:B205)</f>
        <v>33886351.500000007</v>
      </c>
      <c r="D205" s="83">
        <f>B205*12</f>
        <v>33741116.825270496</v>
      </c>
    </row>
    <row r="206" spans="1:4" x14ac:dyDescent="0.25">
      <c r="A206" s="3">
        <v>44197</v>
      </c>
      <c r="B206" s="223">
        <f>+B205+$E$18</f>
        <v>2814573.4940895862</v>
      </c>
    </row>
    <row r="207" spans="1:4" x14ac:dyDescent="0.25">
      <c r="A207" s="3">
        <v>44228</v>
      </c>
      <c r="B207" s="223">
        <f t="shared" ref="B207:B217" si="18">+B206+$E$18</f>
        <v>2817387.2527399645</v>
      </c>
    </row>
    <row r="208" spans="1:4" x14ac:dyDescent="0.25">
      <c r="A208" s="3">
        <v>44256</v>
      </c>
      <c r="B208" s="223">
        <f t="shared" si="18"/>
        <v>2820201.0113903428</v>
      </c>
    </row>
    <row r="209" spans="1:4" x14ac:dyDescent="0.25">
      <c r="A209" s="3">
        <v>44287</v>
      </c>
      <c r="B209" s="223">
        <f t="shared" si="18"/>
        <v>2823014.7700407212</v>
      </c>
    </row>
    <row r="210" spans="1:4" x14ac:dyDescent="0.25">
      <c r="A210" s="3">
        <v>44317</v>
      </c>
      <c r="B210" s="223">
        <f t="shared" si="18"/>
        <v>2825828.5286910995</v>
      </c>
    </row>
    <row r="211" spans="1:4" x14ac:dyDescent="0.25">
      <c r="A211" s="3">
        <v>44348</v>
      </c>
      <c r="B211" s="223">
        <f t="shared" si="18"/>
        <v>2828642.2873414778</v>
      </c>
    </row>
    <row r="212" spans="1:4" x14ac:dyDescent="0.25">
      <c r="A212" s="3">
        <v>44378</v>
      </c>
      <c r="B212" s="223">
        <f t="shared" si="18"/>
        <v>2831456.0459918561</v>
      </c>
    </row>
    <row r="213" spans="1:4" x14ac:dyDescent="0.25">
      <c r="A213" s="3">
        <v>44409</v>
      </c>
      <c r="B213" s="223">
        <f t="shared" si="18"/>
        <v>2834269.8046422345</v>
      </c>
    </row>
    <row r="214" spans="1:4" x14ac:dyDescent="0.25">
      <c r="A214" s="3">
        <v>44440</v>
      </c>
      <c r="B214" s="223">
        <f t="shared" si="18"/>
        <v>2837083.5632926128</v>
      </c>
    </row>
    <row r="215" spans="1:4" x14ac:dyDescent="0.25">
      <c r="A215" s="3">
        <v>44470</v>
      </c>
      <c r="B215" s="223">
        <f t="shared" si="18"/>
        <v>2839897.3219429911</v>
      </c>
    </row>
    <row r="216" spans="1:4" x14ac:dyDescent="0.25">
      <c r="A216" s="3">
        <v>44501</v>
      </c>
      <c r="B216" s="223">
        <f t="shared" si="18"/>
        <v>2842711.0805933694</v>
      </c>
    </row>
    <row r="217" spans="1:4" x14ac:dyDescent="0.25">
      <c r="A217" s="3">
        <v>44531</v>
      </c>
      <c r="B217" s="223">
        <f t="shared" si="18"/>
        <v>2845524.8392437478</v>
      </c>
      <c r="C217" s="83">
        <f>SUM(B206:B217)</f>
        <v>33960590.000000007</v>
      </c>
      <c r="D217" s="83">
        <f>B217*12</f>
        <v>34146298.070924975</v>
      </c>
    </row>
    <row r="218" spans="1:4" x14ac:dyDescent="0.25">
      <c r="B218" s="125">
        <f>SUM(B26:B217)</f>
        <v>268029413.5</v>
      </c>
    </row>
  </sheetData>
  <mergeCells count="2">
    <mergeCell ref="J18:K18"/>
    <mergeCell ref="J19:K19"/>
  </mergeCells>
  <pageMargins left="0.70866141732283505" right="0.70866141732283505" top="0.74803149606299202" bottom="0.74803149606299202" header="0.31496062992126" footer="0.31496062992126"/>
  <pageSetup orientation="landscape" r:id="rId1"/>
  <colBreaks count="1" manualBreakCount="1">
    <brk id="9" max="217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X339"/>
  <sheetViews>
    <sheetView view="pageBreakPreview" zoomScaleNormal="100" zoomScaleSheetLayoutView="100" workbookViewId="0">
      <selection activeCell="H22" sqref="H22"/>
    </sheetView>
  </sheetViews>
  <sheetFormatPr defaultColWidth="9.33203125" defaultRowHeight="13.2" x14ac:dyDescent="0.25"/>
  <cols>
    <col min="7" max="7" width="6.6640625" bestFit="1" customWidth="1"/>
  </cols>
  <sheetData>
    <row r="1" spans="1:24" x14ac:dyDescent="0.25">
      <c r="A1" s="107" t="s">
        <v>83</v>
      </c>
      <c r="B1" s="107" t="s">
        <v>110</v>
      </c>
      <c r="C1" s="107" t="s">
        <v>111</v>
      </c>
      <c r="G1" s="21" t="s">
        <v>115</v>
      </c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</row>
    <row r="2" spans="1:24" x14ac:dyDescent="0.25">
      <c r="A2" s="108">
        <v>36526</v>
      </c>
      <c r="B2" s="109">
        <v>738.9</v>
      </c>
      <c r="C2" s="109">
        <v>0</v>
      </c>
      <c r="G2" s="114" t="s">
        <v>99</v>
      </c>
      <c r="H2" s="114" t="s">
        <v>84</v>
      </c>
      <c r="I2" s="114" t="s">
        <v>86</v>
      </c>
      <c r="J2" s="114" t="s">
        <v>87</v>
      </c>
      <c r="K2" s="114" t="s">
        <v>88</v>
      </c>
      <c r="L2" s="114" t="s">
        <v>89</v>
      </c>
      <c r="M2" s="114" t="s">
        <v>90</v>
      </c>
      <c r="N2" s="114" t="s">
        <v>91</v>
      </c>
      <c r="O2" s="114" t="s">
        <v>92</v>
      </c>
      <c r="P2" s="114" t="s">
        <v>93</v>
      </c>
      <c r="Q2" s="114" t="s">
        <v>94</v>
      </c>
      <c r="R2" s="114" t="s">
        <v>95</v>
      </c>
      <c r="S2" s="114" t="s">
        <v>96</v>
      </c>
    </row>
    <row r="3" spans="1:24" x14ac:dyDescent="0.25">
      <c r="A3" s="108">
        <v>36557</v>
      </c>
      <c r="B3" s="109">
        <v>612.70000000000005</v>
      </c>
      <c r="C3" s="109">
        <v>0</v>
      </c>
      <c r="G3">
        <v>2000</v>
      </c>
      <c r="H3" s="113">
        <v>738.9</v>
      </c>
      <c r="I3" s="113">
        <v>612.70000000000005</v>
      </c>
      <c r="J3" s="113">
        <v>418.6</v>
      </c>
      <c r="K3" s="113">
        <v>339.2</v>
      </c>
      <c r="L3" s="113">
        <v>139.6</v>
      </c>
      <c r="M3" s="113">
        <v>34.5</v>
      </c>
      <c r="N3" s="113">
        <v>6.6</v>
      </c>
      <c r="O3" s="113">
        <v>11.5</v>
      </c>
      <c r="P3" s="113">
        <v>99.5</v>
      </c>
      <c r="Q3" s="113">
        <v>212.7</v>
      </c>
      <c r="R3" s="113">
        <v>432</v>
      </c>
      <c r="S3" s="113">
        <v>780.3</v>
      </c>
    </row>
    <row r="4" spans="1:24" x14ac:dyDescent="0.25">
      <c r="A4" s="108">
        <v>36586</v>
      </c>
      <c r="B4" s="109">
        <v>418.6</v>
      </c>
      <c r="C4" s="109">
        <v>0</v>
      </c>
      <c r="G4">
        <v>2001</v>
      </c>
      <c r="H4" s="113">
        <v>684.9</v>
      </c>
      <c r="I4" s="113">
        <v>587.6</v>
      </c>
      <c r="J4" s="113">
        <v>566.6</v>
      </c>
      <c r="K4" s="113">
        <v>293.8</v>
      </c>
      <c r="L4" s="113">
        <v>111.5</v>
      </c>
      <c r="M4" s="113">
        <v>29.8</v>
      </c>
      <c r="N4" s="113">
        <v>9.3000000000000007</v>
      </c>
      <c r="O4" s="113">
        <v>0</v>
      </c>
      <c r="P4" s="113">
        <v>73.599999999999994</v>
      </c>
      <c r="Q4" s="113">
        <v>232.5</v>
      </c>
      <c r="R4" s="113">
        <v>325.8</v>
      </c>
      <c r="S4" s="113">
        <v>505</v>
      </c>
      <c r="U4" s="113"/>
    </row>
    <row r="5" spans="1:24" x14ac:dyDescent="0.25">
      <c r="A5" s="108">
        <v>36617</v>
      </c>
      <c r="B5" s="109">
        <v>339.2</v>
      </c>
      <c r="C5" s="109">
        <v>0</v>
      </c>
      <c r="G5">
        <v>2002</v>
      </c>
      <c r="H5" s="113">
        <v>572.20000000000005</v>
      </c>
      <c r="I5" s="113">
        <v>540.20000000000005</v>
      </c>
      <c r="J5" s="113">
        <v>545.6</v>
      </c>
      <c r="K5" s="113">
        <v>329.5</v>
      </c>
      <c r="L5" s="113">
        <v>227.5</v>
      </c>
      <c r="M5" s="113">
        <v>36.200000000000003</v>
      </c>
      <c r="N5" s="113">
        <v>0</v>
      </c>
      <c r="O5" s="113">
        <v>0.2</v>
      </c>
      <c r="P5" s="113">
        <v>21.8</v>
      </c>
      <c r="Q5" s="113">
        <v>292.2</v>
      </c>
      <c r="R5" s="113">
        <v>445</v>
      </c>
      <c r="S5" s="113">
        <v>619.4</v>
      </c>
      <c r="U5" s="113"/>
    </row>
    <row r="6" spans="1:24" x14ac:dyDescent="0.25">
      <c r="A6" s="108">
        <v>36647</v>
      </c>
      <c r="B6" s="109">
        <v>139.6</v>
      </c>
      <c r="C6" s="109">
        <v>23.7</v>
      </c>
      <c r="G6">
        <v>2003</v>
      </c>
      <c r="H6" s="113">
        <v>814.5</v>
      </c>
      <c r="I6" s="113">
        <v>699</v>
      </c>
      <c r="J6" s="113">
        <v>581.1</v>
      </c>
      <c r="K6" s="113">
        <v>372.5</v>
      </c>
      <c r="L6" s="113">
        <v>177.9</v>
      </c>
      <c r="M6" s="113">
        <v>43.4</v>
      </c>
      <c r="N6" s="113">
        <v>0.2</v>
      </c>
      <c r="O6" s="113">
        <v>2</v>
      </c>
      <c r="P6" s="113">
        <v>54.9</v>
      </c>
      <c r="Q6" s="113">
        <v>276</v>
      </c>
      <c r="R6" s="113">
        <v>398.5</v>
      </c>
      <c r="S6" s="113">
        <v>561.5</v>
      </c>
      <c r="U6" s="113"/>
    </row>
    <row r="7" spans="1:24" x14ac:dyDescent="0.25">
      <c r="A7" s="108">
        <v>36678</v>
      </c>
      <c r="B7" s="109">
        <v>34.5</v>
      </c>
      <c r="C7" s="109">
        <v>41.1</v>
      </c>
      <c r="G7">
        <v>2004</v>
      </c>
      <c r="H7" s="113">
        <v>849.1</v>
      </c>
      <c r="I7" s="113">
        <v>631.70000000000005</v>
      </c>
      <c r="J7" s="113">
        <v>487.3</v>
      </c>
      <c r="K7" s="113">
        <v>331.5</v>
      </c>
      <c r="L7" s="113">
        <v>158.9</v>
      </c>
      <c r="M7" s="113">
        <v>44.2</v>
      </c>
      <c r="N7" s="113">
        <v>3.6</v>
      </c>
      <c r="O7" s="113">
        <v>12.8</v>
      </c>
      <c r="P7" s="113">
        <v>30</v>
      </c>
      <c r="Q7" s="113">
        <v>226.3</v>
      </c>
      <c r="R7" s="113">
        <v>379.1</v>
      </c>
      <c r="S7" s="113">
        <v>643.4</v>
      </c>
      <c r="U7" s="113"/>
    </row>
    <row r="8" spans="1:24" x14ac:dyDescent="0.25">
      <c r="A8" s="108">
        <v>36708</v>
      </c>
      <c r="B8" s="109">
        <v>6.6</v>
      </c>
      <c r="C8" s="109">
        <v>71.8</v>
      </c>
      <c r="G8">
        <v>2005</v>
      </c>
      <c r="H8" s="113">
        <v>770</v>
      </c>
      <c r="I8" s="113">
        <v>616.4</v>
      </c>
      <c r="J8" s="113">
        <v>608.6</v>
      </c>
      <c r="K8" s="113">
        <v>306.8</v>
      </c>
      <c r="L8" s="113">
        <v>189.4</v>
      </c>
      <c r="M8" s="113">
        <v>8.9</v>
      </c>
      <c r="N8" s="113">
        <v>0</v>
      </c>
      <c r="O8" s="113">
        <v>0.2</v>
      </c>
      <c r="P8" s="113">
        <v>22.6</v>
      </c>
      <c r="Q8" s="113">
        <v>220.2</v>
      </c>
      <c r="R8" s="113">
        <v>388.4</v>
      </c>
      <c r="S8" s="113">
        <v>665.3</v>
      </c>
      <c r="U8" s="113"/>
    </row>
    <row r="9" spans="1:24" x14ac:dyDescent="0.25">
      <c r="A9" s="108">
        <v>36739</v>
      </c>
      <c r="B9" s="109">
        <v>11.5</v>
      </c>
      <c r="C9" s="109">
        <v>92.5</v>
      </c>
      <c r="G9">
        <v>2006</v>
      </c>
      <c r="H9" s="113">
        <v>551.79999999999995</v>
      </c>
      <c r="I9" s="113">
        <v>604.29999999999995</v>
      </c>
      <c r="J9" s="113">
        <v>516.6</v>
      </c>
      <c r="K9" s="113">
        <v>293.3</v>
      </c>
      <c r="L9" s="113">
        <v>136.9</v>
      </c>
      <c r="M9" s="113">
        <v>19.5</v>
      </c>
      <c r="N9" s="113">
        <v>0</v>
      </c>
      <c r="O9" s="113">
        <v>4.2</v>
      </c>
      <c r="P9" s="113">
        <v>80.900000000000006</v>
      </c>
      <c r="Q9" s="113">
        <v>288.3</v>
      </c>
      <c r="R9" s="113">
        <v>382.2</v>
      </c>
      <c r="S9" s="113">
        <v>500.5</v>
      </c>
      <c r="U9" s="113"/>
    </row>
    <row r="10" spans="1:24" x14ac:dyDescent="0.25">
      <c r="A10" s="108">
        <v>36770</v>
      </c>
      <c r="B10" s="109">
        <v>99.5</v>
      </c>
      <c r="C10" s="109">
        <v>35.200000000000003</v>
      </c>
      <c r="G10">
        <v>2007</v>
      </c>
      <c r="H10" s="113">
        <v>647.1</v>
      </c>
      <c r="I10" s="113">
        <v>740.1</v>
      </c>
      <c r="J10" s="113">
        <v>546.70000000000005</v>
      </c>
      <c r="K10" s="113">
        <v>356.4</v>
      </c>
      <c r="L10" s="113">
        <v>136.4</v>
      </c>
      <c r="M10" s="113">
        <v>16.5</v>
      </c>
      <c r="N10" s="113">
        <v>3.2</v>
      </c>
      <c r="O10" s="113">
        <v>5.2</v>
      </c>
      <c r="P10" s="113">
        <v>36.9</v>
      </c>
      <c r="Q10" s="113">
        <v>137.69999999999999</v>
      </c>
      <c r="R10" s="113">
        <v>462.5</v>
      </c>
      <c r="S10" s="113">
        <v>630.70000000000005</v>
      </c>
      <c r="U10" s="113"/>
    </row>
    <row r="11" spans="1:24" x14ac:dyDescent="0.25">
      <c r="A11" s="108">
        <v>36800</v>
      </c>
      <c r="B11" s="109">
        <v>212.7</v>
      </c>
      <c r="C11" s="109">
        <v>1.2</v>
      </c>
      <c r="G11">
        <v>2008</v>
      </c>
      <c r="H11" s="113">
        <v>623.5</v>
      </c>
      <c r="I11" s="113">
        <v>674.7</v>
      </c>
      <c r="J11" s="113">
        <v>610.20000000000005</v>
      </c>
      <c r="K11" s="113">
        <v>253.9</v>
      </c>
      <c r="L11" s="113">
        <v>193.5</v>
      </c>
      <c r="M11" s="113">
        <v>22.7</v>
      </c>
      <c r="N11" s="113">
        <v>1</v>
      </c>
      <c r="O11" s="113">
        <v>12.7</v>
      </c>
      <c r="P11" s="113">
        <v>59.5</v>
      </c>
      <c r="Q11" s="113">
        <v>278.60000000000002</v>
      </c>
      <c r="R11" s="113">
        <v>451.6</v>
      </c>
      <c r="S11" s="113">
        <v>654.6</v>
      </c>
      <c r="U11" s="113"/>
    </row>
    <row r="12" spans="1:24" ht="14.25" customHeight="1" x14ac:dyDescent="0.3">
      <c r="A12" s="108">
        <v>36831</v>
      </c>
      <c r="B12" s="109">
        <v>432</v>
      </c>
      <c r="C12" s="109">
        <v>0</v>
      </c>
      <c r="G12">
        <v>2009</v>
      </c>
      <c r="H12" s="113">
        <v>830.2</v>
      </c>
      <c r="I12" s="113">
        <v>606.4</v>
      </c>
      <c r="J12" s="113">
        <v>533.79999999999995</v>
      </c>
      <c r="K12" s="113">
        <v>305.8</v>
      </c>
      <c r="L12" s="113">
        <v>158.80000000000001</v>
      </c>
      <c r="M12" s="113">
        <v>49.3</v>
      </c>
      <c r="N12" s="113">
        <v>6.2</v>
      </c>
      <c r="O12" s="113">
        <v>9.8000000000000007</v>
      </c>
      <c r="P12" s="113">
        <v>55.2</v>
      </c>
      <c r="Q12" s="113">
        <v>287.8</v>
      </c>
      <c r="R12" s="113">
        <v>361.2</v>
      </c>
      <c r="S12" s="113">
        <v>631.29999999999995</v>
      </c>
      <c r="U12" s="113"/>
      <c r="X12" s="112"/>
    </row>
    <row r="13" spans="1:24" x14ac:dyDescent="0.25">
      <c r="A13" s="108">
        <v>36861</v>
      </c>
      <c r="B13" s="109">
        <v>780.3</v>
      </c>
      <c r="C13" s="109">
        <v>0</v>
      </c>
      <c r="G13">
        <v>2010</v>
      </c>
      <c r="H13" s="113">
        <v>720</v>
      </c>
      <c r="I13" s="113">
        <v>598.29999999999995</v>
      </c>
      <c r="J13" s="113">
        <v>422.8</v>
      </c>
      <c r="K13" s="113">
        <v>225.1</v>
      </c>
      <c r="L13" s="113">
        <v>107.9</v>
      </c>
      <c r="M13" s="113">
        <v>21.7</v>
      </c>
      <c r="N13" s="113">
        <v>1.8</v>
      </c>
      <c r="O13" s="113">
        <v>2.1</v>
      </c>
      <c r="P13" s="113">
        <v>78.099999999999994</v>
      </c>
      <c r="Q13" s="113">
        <v>24.56</v>
      </c>
      <c r="R13" s="113">
        <v>405.3</v>
      </c>
      <c r="S13" s="113">
        <v>676.2</v>
      </c>
      <c r="U13" s="113"/>
    </row>
    <row r="14" spans="1:24" x14ac:dyDescent="0.25">
      <c r="A14" s="108">
        <v>36892</v>
      </c>
      <c r="B14" s="109">
        <v>684.9</v>
      </c>
      <c r="C14" s="109">
        <v>0</v>
      </c>
      <c r="G14">
        <v>2011</v>
      </c>
      <c r="H14" s="113">
        <v>775.3</v>
      </c>
      <c r="I14" s="113">
        <v>654.20000000000005</v>
      </c>
      <c r="J14" s="113">
        <v>572.79999999999995</v>
      </c>
      <c r="K14" s="113">
        <v>332.3</v>
      </c>
      <c r="L14" s="113">
        <v>134.1</v>
      </c>
      <c r="M14" s="113">
        <v>19</v>
      </c>
      <c r="N14" s="113">
        <v>0</v>
      </c>
      <c r="O14" s="113">
        <v>0</v>
      </c>
      <c r="P14" s="113">
        <v>48.2</v>
      </c>
      <c r="Q14" s="113">
        <v>235.5</v>
      </c>
      <c r="R14" s="113">
        <v>341.9</v>
      </c>
      <c r="S14" s="113">
        <v>534</v>
      </c>
      <c r="U14" s="113"/>
    </row>
    <row r="15" spans="1:24" x14ac:dyDescent="0.25">
      <c r="A15" s="108">
        <v>36925</v>
      </c>
      <c r="B15" s="109">
        <v>587.6</v>
      </c>
      <c r="C15" s="109">
        <v>0</v>
      </c>
      <c r="G15">
        <v>2012</v>
      </c>
      <c r="H15" s="113">
        <v>611.1</v>
      </c>
      <c r="I15" s="113">
        <v>531.70000000000005</v>
      </c>
      <c r="J15" s="113">
        <v>349.4</v>
      </c>
      <c r="K15" s="113">
        <v>321.7</v>
      </c>
      <c r="L15" s="113">
        <v>80.7</v>
      </c>
      <c r="M15" s="113">
        <v>23.2</v>
      </c>
      <c r="N15" s="113">
        <v>0</v>
      </c>
      <c r="O15" s="113">
        <v>2</v>
      </c>
      <c r="P15" s="113">
        <v>85</v>
      </c>
      <c r="Q15" s="113">
        <v>242.5</v>
      </c>
      <c r="R15" s="113">
        <v>434</v>
      </c>
      <c r="S15" s="113">
        <v>533.5</v>
      </c>
      <c r="U15" s="113"/>
    </row>
    <row r="16" spans="1:24" x14ac:dyDescent="0.25">
      <c r="A16" s="108">
        <v>36958</v>
      </c>
      <c r="B16" s="109">
        <v>566.6</v>
      </c>
      <c r="C16" s="109">
        <v>0</v>
      </c>
      <c r="G16">
        <v>2013</v>
      </c>
      <c r="H16" s="113">
        <v>624.4</v>
      </c>
      <c r="I16" s="113">
        <v>631.5</v>
      </c>
      <c r="J16" s="113">
        <v>554.79999999999995</v>
      </c>
      <c r="K16" s="113">
        <v>358.6</v>
      </c>
      <c r="L16" s="113">
        <v>109.1</v>
      </c>
      <c r="M16" s="113">
        <v>33</v>
      </c>
      <c r="N16" s="113">
        <v>1.3</v>
      </c>
      <c r="O16" s="113">
        <v>4.4000000000000004</v>
      </c>
      <c r="P16" s="113">
        <v>83</v>
      </c>
      <c r="Q16" s="113">
        <v>208.5</v>
      </c>
      <c r="R16" s="113">
        <v>478.2</v>
      </c>
      <c r="S16" s="113">
        <v>687.9</v>
      </c>
      <c r="U16" s="113"/>
    </row>
    <row r="17" spans="1:21" x14ac:dyDescent="0.25">
      <c r="A17" s="108">
        <v>36991</v>
      </c>
      <c r="B17" s="109">
        <v>293.8</v>
      </c>
      <c r="C17" s="109">
        <v>1.4</v>
      </c>
      <c r="G17">
        <v>2014</v>
      </c>
      <c r="H17" s="113">
        <v>825.9</v>
      </c>
      <c r="I17" s="113">
        <v>737.1</v>
      </c>
      <c r="J17" s="113">
        <v>690.6</v>
      </c>
      <c r="K17" s="113">
        <v>356.9</v>
      </c>
      <c r="L17" s="113">
        <v>132.1</v>
      </c>
      <c r="M17" s="113">
        <v>14.1</v>
      </c>
      <c r="N17" s="113">
        <v>4</v>
      </c>
      <c r="O17" s="113">
        <v>8.8000000000000007</v>
      </c>
      <c r="P17" s="113">
        <v>69.7</v>
      </c>
      <c r="Q17" s="113">
        <v>224.3</v>
      </c>
      <c r="R17" s="113">
        <v>482.1</v>
      </c>
      <c r="S17" s="113">
        <v>557.29999999999995</v>
      </c>
      <c r="U17" s="113"/>
    </row>
    <row r="18" spans="1:21" x14ac:dyDescent="0.25">
      <c r="A18" s="108">
        <v>37024</v>
      </c>
      <c r="B18" s="109">
        <v>111.5</v>
      </c>
      <c r="C18" s="109">
        <v>12.2</v>
      </c>
      <c r="G18">
        <v>2015</v>
      </c>
      <c r="H18" s="113">
        <v>792.39999999999975</v>
      </c>
      <c r="I18" s="113">
        <v>856.8</v>
      </c>
      <c r="J18" s="113">
        <v>615.49999999999989</v>
      </c>
      <c r="K18" s="113">
        <v>313.7</v>
      </c>
      <c r="L18" s="113">
        <v>89.3</v>
      </c>
      <c r="M18" s="113">
        <v>33.800000000000004</v>
      </c>
      <c r="N18" s="113">
        <v>4</v>
      </c>
      <c r="O18" s="113">
        <v>4.4000000000000004</v>
      </c>
      <c r="P18" s="113">
        <v>31.099999999999994</v>
      </c>
      <c r="Q18" s="113">
        <v>249.8</v>
      </c>
      <c r="R18" s="113">
        <v>345</v>
      </c>
      <c r="S18" s="113">
        <v>429.70000000000005</v>
      </c>
      <c r="U18" s="113"/>
    </row>
    <row r="19" spans="1:21" x14ac:dyDescent="0.25">
      <c r="A19" s="108">
        <v>37057</v>
      </c>
      <c r="B19" s="109">
        <v>29.8</v>
      </c>
      <c r="C19" s="109">
        <v>79.7</v>
      </c>
      <c r="G19">
        <v>2016</v>
      </c>
      <c r="H19" s="104">
        <v>670.4</v>
      </c>
      <c r="I19" s="104">
        <v>588.4</v>
      </c>
      <c r="J19">
        <v>476.0999999999998</v>
      </c>
      <c r="K19">
        <v>394.8</v>
      </c>
      <c r="L19">
        <v>142.50000000000003</v>
      </c>
      <c r="M19">
        <v>24.200000000000003</v>
      </c>
      <c r="N19">
        <v>0</v>
      </c>
      <c r="O19">
        <v>0</v>
      </c>
      <c r="P19">
        <v>25.900000000000006</v>
      </c>
      <c r="Q19">
        <v>194.20000000000002</v>
      </c>
      <c r="R19">
        <v>337.80000000000007</v>
      </c>
      <c r="S19">
        <v>607.99999999999989</v>
      </c>
      <c r="U19" s="113"/>
    </row>
    <row r="20" spans="1:21" x14ac:dyDescent="0.25">
      <c r="A20" s="108">
        <v>37090</v>
      </c>
      <c r="B20" s="109">
        <v>9.3000000000000007</v>
      </c>
      <c r="C20" s="109">
        <v>100.9</v>
      </c>
      <c r="G20">
        <v>2017</v>
      </c>
      <c r="H20" s="104">
        <v>608.9</v>
      </c>
      <c r="I20" s="104">
        <v>510.4</v>
      </c>
      <c r="J20">
        <v>574</v>
      </c>
      <c r="K20">
        <v>257.49999999999994</v>
      </c>
      <c r="L20">
        <v>177</v>
      </c>
      <c r="M20">
        <v>26.699999999999996</v>
      </c>
      <c r="N20">
        <v>0</v>
      </c>
      <c r="O20">
        <v>11.6</v>
      </c>
      <c r="P20">
        <v>49.1</v>
      </c>
      <c r="Q20">
        <v>153.99999999999997</v>
      </c>
      <c r="R20">
        <v>414.2</v>
      </c>
      <c r="S20">
        <v>718.49999999999989</v>
      </c>
      <c r="U20" s="113"/>
    </row>
    <row r="21" spans="1:21" x14ac:dyDescent="0.25">
      <c r="A21" s="108">
        <v>37123</v>
      </c>
      <c r="B21" s="109">
        <v>0</v>
      </c>
      <c r="C21" s="109">
        <v>160</v>
      </c>
      <c r="G21">
        <v>2018</v>
      </c>
      <c r="H21" s="104">
        <v>732.29999999999984</v>
      </c>
      <c r="I21" s="104">
        <v>555.00000000000023</v>
      </c>
      <c r="J21">
        <v>553.99999999999989</v>
      </c>
      <c r="K21">
        <v>437.20000000000005</v>
      </c>
      <c r="L21">
        <v>75.3</v>
      </c>
      <c r="M21">
        <v>14.799999999999999</v>
      </c>
      <c r="N21">
        <v>0</v>
      </c>
      <c r="O21">
        <v>1.2</v>
      </c>
      <c r="P21">
        <v>41.399999999999991</v>
      </c>
      <c r="Q21">
        <v>289.40000000000003</v>
      </c>
      <c r="R21">
        <v>494.1</v>
      </c>
      <c r="S21">
        <v>563.60000000000014</v>
      </c>
      <c r="U21" s="113"/>
    </row>
    <row r="22" spans="1:21" x14ac:dyDescent="0.25">
      <c r="A22" s="108">
        <v>37156</v>
      </c>
      <c r="B22" s="109">
        <v>73.599999999999994</v>
      </c>
      <c r="C22" s="109">
        <v>35.700000000000003</v>
      </c>
      <c r="G22">
        <v>2019</v>
      </c>
      <c r="H22" s="104">
        <v>764.5</v>
      </c>
      <c r="I22" s="104">
        <v>621.70000000000016</v>
      </c>
      <c r="J22">
        <v>593.90000000000009</v>
      </c>
      <c r="K22">
        <v>346.8</v>
      </c>
      <c r="L22">
        <v>180.99999999999997</v>
      </c>
      <c r="M22">
        <v>35.5</v>
      </c>
      <c r="N22">
        <v>0</v>
      </c>
      <c r="O22">
        <v>0.89999999999999991</v>
      </c>
      <c r="P22">
        <v>38.400000000000006</v>
      </c>
      <c r="Q22">
        <v>236.5</v>
      </c>
      <c r="R22">
        <v>513.30000000000007</v>
      </c>
      <c r="S22">
        <v>582.4</v>
      </c>
      <c r="U22" s="113"/>
    </row>
    <row r="23" spans="1:21" x14ac:dyDescent="0.25">
      <c r="A23" s="108">
        <v>37189</v>
      </c>
      <c r="B23" s="109">
        <v>232.5</v>
      </c>
      <c r="C23" s="109">
        <v>2</v>
      </c>
      <c r="G23" s="114" t="s">
        <v>114</v>
      </c>
      <c r="H23" s="115">
        <f>TREND(H3:H22,$G$3:$G$22,2021)</f>
        <v>714.88526315789454</v>
      </c>
      <c r="I23" s="115">
        <f t="shared" ref="I23:S23" si="0">TREND(I3:I22,$G$3:$G$22,2021)</f>
        <v>633.13691729323307</v>
      </c>
      <c r="J23" s="115">
        <f t="shared" si="0"/>
        <v>570.20496240601551</v>
      </c>
      <c r="K23" s="115">
        <f t="shared" si="0"/>
        <v>347.85443609022559</v>
      </c>
      <c r="L23" s="115">
        <f t="shared" si="0"/>
        <v>116.77075187969967</v>
      </c>
      <c r="M23" s="115">
        <f t="shared" si="0"/>
        <v>22.306691729323347</v>
      </c>
      <c r="N23" s="115">
        <v>0</v>
      </c>
      <c r="O23" s="115">
        <f t="shared" si="0"/>
        <v>3.7367669172932096</v>
      </c>
      <c r="P23" s="115">
        <f t="shared" si="0"/>
        <v>45.631428571428614</v>
      </c>
      <c r="Q23" s="115">
        <f t="shared" si="0"/>
        <v>209.59351879699216</v>
      </c>
      <c r="R23" s="115">
        <f t="shared" si="0"/>
        <v>447.04992481202953</v>
      </c>
      <c r="S23" s="115">
        <f t="shared" si="0"/>
        <v>574.00684210526288</v>
      </c>
      <c r="U23" s="113"/>
    </row>
    <row r="24" spans="1:21" x14ac:dyDescent="0.25">
      <c r="A24" s="108">
        <v>37222</v>
      </c>
      <c r="B24" s="109">
        <v>325.8</v>
      </c>
      <c r="C24" s="109">
        <v>0</v>
      </c>
    </row>
    <row r="25" spans="1:21" x14ac:dyDescent="0.25">
      <c r="A25" s="108">
        <v>37255</v>
      </c>
      <c r="B25" s="109">
        <v>505</v>
      </c>
      <c r="C25" s="109">
        <v>0</v>
      </c>
      <c r="G25" s="21" t="s">
        <v>116</v>
      </c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</row>
    <row r="26" spans="1:21" x14ac:dyDescent="0.25">
      <c r="A26" s="108">
        <v>37275</v>
      </c>
      <c r="B26" s="109">
        <v>572.20000000000005</v>
      </c>
      <c r="C26" s="109">
        <v>0</v>
      </c>
      <c r="G26" s="114" t="s">
        <v>99</v>
      </c>
      <c r="H26" s="114" t="s">
        <v>84</v>
      </c>
      <c r="I26" s="114" t="s">
        <v>86</v>
      </c>
      <c r="J26" s="114" t="s">
        <v>87</v>
      </c>
      <c r="K26" s="114" t="s">
        <v>88</v>
      </c>
      <c r="L26" s="114" t="s">
        <v>89</v>
      </c>
      <c r="M26" s="114" t="s">
        <v>90</v>
      </c>
      <c r="N26" s="114" t="s">
        <v>91</v>
      </c>
      <c r="O26" s="114" t="s">
        <v>92</v>
      </c>
      <c r="P26" s="114" t="s">
        <v>93</v>
      </c>
      <c r="Q26" s="114" t="s">
        <v>94</v>
      </c>
      <c r="R26" s="114" t="s">
        <v>95</v>
      </c>
      <c r="S26" s="114" t="s">
        <v>96</v>
      </c>
    </row>
    <row r="27" spans="1:21" x14ac:dyDescent="0.25">
      <c r="A27" s="108">
        <v>37308</v>
      </c>
      <c r="B27" s="109">
        <v>540.20000000000005</v>
      </c>
      <c r="C27" s="109">
        <v>0</v>
      </c>
      <c r="G27">
        <v>2000</v>
      </c>
      <c r="H27" s="109">
        <v>0</v>
      </c>
      <c r="I27" s="109">
        <v>0</v>
      </c>
      <c r="J27" s="109">
        <v>0</v>
      </c>
      <c r="K27" s="109">
        <v>0</v>
      </c>
      <c r="L27" s="109">
        <v>23.7</v>
      </c>
      <c r="M27" s="109">
        <v>41.1</v>
      </c>
      <c r="N27" s="109">
        <v>71.8</v>
      </c>
      <c r="O27" s="109">
        <v>92.5</v>
      </c>
      <c r="P27" s="109">
        <v>35.200000000000003</v>
      </c>
      <c r="Q27" s="109">
        <v>1.2</v>
      </c>
      <c r="R27" s="109">
        <v>0</v>
      </c>
      <c r="S27" s="109">
        <v>0</v>
      </c>
    </row>
    <row r="28" spans="1:21" x14ac:dyDescent="0.25">
      <c r="A28" s="108">
        <v>37341</v>
      </c>
      <c r="B28" s="109">
        <v>545.6</v>
      </c>
      <c r="C28" s="109">
        <v>0</v>
      </c>
      <c r="G28">
        <v>2001</v>
      </c>
      <c r="H28" s="109">
        <v>0</v>
      </c>
      <c r="I28" s="109">
        <v>0</v>
      </c>
      <c r="J28" s="109">
        <v>0</v>
      </c>
      <c r="K28" s="109">
        <v>1.4</v>
      </c>
      <c r="L28" s="109">
        <v>12.2</v>
      </c>
      <c r="M28" s="109">
        <v>79.7</v>
      </c>
      <c r="N28" s="109">
        <v>100.9</v>
      </c>
      <c r="O28" s="109">
        <v>160</v>
      </c>
      <c r="P28" s="109">
        <v>35.700000000000003</v>
      </c>
      <c r="Q28" s="109">
        <v>2</v>
      </c>
      <c r="R28" s="109">
        <v>0</v>
      </c>
      <c r="S28" s="109">
        <v>0</v>
      </c>
    </row>
    <row r="29" spans="1:21" x14ac:dyDescent="0.25">
      <c r="A29" s="108">
        <v>37374</v>
      </c>
      <c r="B29" s="109">
        <v>329.5</v>
      </c>
      <c r="C29" s="109">
        <v>8.3000000000000007</v>
      </c>
      <c r="G29">
        <v>2002</v>
      </c>
      <c r="H29" s="109">
        <v>0</v>
      </c>
      <c r="I29" s="109">
        <v>0</v>
      </c>
      <c r="J29" s="109">
        <v>0</v>
      </c>
      <c r="K29" s="109">
        <v>8.3000000000000007</v>
      </c>
      <c r="L29" s="109">
        <v>7.8</v>
      </c>
      <c r="M29" s="109">
        <v>70</v>
      </c>
      <c r="N29" s="109">
        <v>192.4</v>
      </c>
      <c r="O29" s="109">
        <v>142.69999999999999</v>
      </c>
      <c r="P29" s="109">
        <v>87.6</v>
      </c>
      <c r="Q29" s="109">
        <v>10</v>
      </c>
      <c r="R29" s="109">
        <v>0</v>
      </c>
      <c r="S29" s="109">
        <v>0</v>
      </c>
    </row>
    <row r="30" spans="1:21" x14ac:dyDescent="0.25">
      <c r="A30" s="108">
        <v>37407</v>
      </c>
      <c r="B30" s="109">
        <v>227.5</v>
      </c>
      <c r="C30" s="109">
        <v>7.8</v>
      </c>
      <c r="G30">
        <v>2003</v>
      </c>
      <c r="H30" s="109">
        <v>0</v>
      </c>
      <c r="I30" s="109">
        <v>0</v>
      </c>
      <c r="J30" s="109">
        <v>0</v>
      </c>
      <c r="K30" s="109">
        <v>2.4</v>
      </c>
      <c r="L30" s="109">
        <v>0</v>
      </c>
      <c r="M30" s="109">
        <v>52.9</v>
      </c>
      <c r="N30" s="109">
        <v>118.3</v>
      </c>
      <c r="O30" s="109">
        <v>128</v>
      </c>
      <c r="P30" s="109">
        <v>24</v>
      </c>
      <c r="Q30" s="109">
        <v>0</v>
      </c>
      <c r="R30" s="109">
        <v>0</v>
      </c>
      <c r="S30" s="109">
        <v>0</v>
      </c>
    </row>
    <row r="31" spans="1:21" x14ac:dyDescent="0.25">
      <c r="A31" s="108">
        <v>37408</v>
      </c>
      <c r="B31" s="109">
        <v>36.200000000000003</v>
      </c>
      <c r="C31" s="109">
        <v>70</v>
      </c>
      <c r="G31">
        <v>2004</v>
      </c>
      <c r="H31" s="109">
        <v>0</v>
      </c>
      <c r="I31" s="109">
        <v>0</v>
      </c>
      <c r="J31" s="109">
        <v>0</v>
      </c>
      <c r="K31" s="109">
        <v>0</v>
      </c>
      <c r="L31" s="109">
        <v>8.6</v>
      </c>
      <c r="M31" s="109">
        <v>31.6</v>
      </c>
      <c r="N31" s="109">
        <v>86.4</v>
      </c>
      <c r="O31" s="109">
        <v>59.6</v>
      </c>
      <c r="P31" s="109">
        <v>41.2</v>
      </c>
      <c r="Q31" s="109">
        <v>1.5</v>
      </c>
      <c r="R31" s="109">
        <v>0</v>
      </c>
      <c r="S31" s="109">
        <v>0</v>
      </c>
      <c r="T31" s="109"/>
    </row>
    <row r="32" spans="1:21" x14ac:dyDescent="0.25">
      <c r="A32" s="108">
        <v>37440</v>
      </c>
      <c r="B32" s="109">
        <v>0</v>
      </c>
      <c r="C32" s="109">
        <v>192.4</v>
      </c>
      <c r="G32">
        <v>2005</v>
      </c>
      <c r="H32" s="109">
        <v>0</v>
      </c>
      <c r="I32" s="109">
        <v>0</v>
      </c>
      <c r="J32" s="109">
        <v>0</v>
      </c>
      <c r="K32" s="109">
        <v>0</v>
      </c>
      <c r="L32" s="109">
        <v>0.8</v>
      </c>
      <c r="M32" s="109">
        <v>146.30000000000001</v>
      </c>
      <c r="N32" s="109">
        <v>188.7</v>
      </c>
      <c r="O32" s="109">
        <v>140.69999999999999</v>
      </c>
      <c r="P32" s="109">
        <v>52.1</v>
      </c>
      <c r="Q32" s="109">
        <v>7.6</v>
      </c>
      <c r="R32" s="109">
        <v>0</v>
      </c>
      <c r="S32" s="109">
        <v>0</v>
      </c>
    </row>
    <row r="33" spans="1:19" x14ac:dyDescent="0.25">
      <c r="A33" s="108">
        <v>37473</v>
      </c>
      <c r="B33" s="109">
        <v>0.2</v>
      </c>
      <c r="C33" s="109">
        <v>142.69999999999999</v>
      </c>
      <c r="G33">
        <v>2006</v>
      </c>
      <c r="H33" s="109">
        <v>0</v>
      </c>
      <c r="I33" s="109">
        <v>0</v>
      </c>
      <c r="J33" s="109">
        <v>0</v>
      </c>
      <c r="K33" s="109">
        <v>0</v>
      </c>
      <c r="L33" s="109">
        <v>26</v>
      </c>
      <c r="M33" s="109">
        <v>73.599999999999994</v>
      </c>
      <c r="N33" s="109">
        <v>167.3</v>
      </c>
      <c r="O33" s="109">
        <v>101.6</v>
      </c>
      <c r="P33" s="109">
        <v>12.9</v>
      </c>
      <c r="Q33" s="109">
        <v>1.1000000000000001</v>
      </c>
      <c r="R33" s="109">
        <v>0</v>
      </c>
      <c r="S33" s="109">
        <v>0</v>
      </c>
    </row>
    <row r="34" spans="1:19" x14ac:dyDescent="0.25">
      <c r="A34" s="108">
        <v>37506</v>
      </c>
      <c r="B34" s="109">
        <v>21.8</v>
      </c>
      <c r="C34" s="109">
        <v>87.6</v>
      </c>
      <c r="G34">
        <v>2007</v>
      </c>
      <c r="H34" s="109">
        <v>0</v>
      </c>
      <c r="I34" s="109">
        <v>0</v>
      </c>
      <c r="J34" s="109">
        <v>0</v>
      </c>
      <c r="K34" s="109">
        <v>0</v>
      </c>
      <c r="L34" s="109">
        <v>22.4</v>
      </c>
      <c r="M34" s="109">
        <v>99.2</v>
      </c>
      <c r="N34" s="109">
        <v>106.1</v>
      </c>
      <c r="O34" s="109">
        <v>141</v>
      </c>
      <c r="P34" s="109">
        <v>47.5</v>
      </c>
      <c r="Q34" s="109">
        <v>19.8</v>
      </c>
      <c r="R34" s="109">
        <v>0</v>
      </c>
      <c r="S34" s="109">
        <v>0</v>
      </c>
    </row>
    <row r="35" spans="1:19" x14ac:dyDescent="0.25">
      <c r="A35" s="108">
        <v>37539</v>
      </c>
      <c r="B35" s="109">
        <v>292.2</v>
      </c>
      <c r="C35" s="109">
        <v>10</v>
      </c>
      <c r="G35">
        <v>2008</v>
      </c>
      <c r="H35" s="109">
        <v>0</v>
      </c>
      <c r="I35" s="109">
        <v>0</v>
      </c>
      <c r="J35" s="109">
        <v>0</v>
      </c>
      <c r="K35" s="109">
        <v>0</v>
      </c>
      <c r="L35" s="109">
        <v>2.5</v>
      </c>
      <c r="M35" s="109">
        <v>71.5</v>
      </c>
      <c r="N35" s="109">
        <v>111</v>
      </c>
      <c r="O35" s="109">
        <v>64</v>
      </c>
      <c r="P35" s="109">
        <v>26.7</v>
      </c>
      <c r="Q35" s="109">
        <v>0</v>
      </c>
      <c r="R35" s="109">
        <v>0</v>
      </c>
      <c r="S35" s="109">
        <v>0</v>
      </c>
    </row>
    <row r="36" spans="1:19" x14ac:dyDescent="0.25">
      <c r="A36" s="108">
        <v>37572</v>
      </c>
      <c r="B36" s="109">
        <v>445</v>
      </c>
      <c r="C36" s="109">
        <v>0</v>
      </c>
      <c r="G36">
        <v>2009</v>
      </c>
      <c r="H36" s="109">
        <v>0</v>
      </c>
      <c r="I36" s="109">
        <v>0</v>
      </c>
      <c r="J36" s="109">
        <v>0</v>
      </c>
      <c r="K36" s="109">
        <v>1.2</v>
      </c>
      <c r="L36" s="109">
        <v>6.9</v>
      </c>
      <c r="M36" s="109">
        <v>34.200000000000003</v>
      </c>
      <c r="N36" s="109">
        <v>43.7</v>
      </c>
      <c r="O36" s="109">
        <v>91</v>
      </c>
      <c r="P36" s="109">
        <v>20.9</v>
      </c>
      <c r="Q36" s="109">
        <v>0</v>
      </c>
      <c r="R36" s="109">
        <v>0</v>
      </c>
      <c r="S36" s="109">
        <v>0</v>
      </c>
    </row>
    <row r="37" spans="1:19" x14ac:dyDescent="0.25">
      <c r="A37" s="108">
        <v>37605</v>
      </c>
      <c r="B37" s="109">
        <v>619.4</v>
      </c>
      <c r="C37" s="109">
        <v>0</v>
      </c>
      <c r="G37">
        <v>2010</v>
      </c>
      <c r="H37" s="109">
        <v>0</v>
      </c>
      <c r="I37" s="109">
        <v>0</v>
      </c>
      <c r="J37" s="109">
        <v>0</v>
      </c>
      <c r="K37" s="109">
        <v>0</v>
      </c>
      <c r="L37" s="109">
        <v>45.7</v>
      </c>
      <c r="M37" s="109">
        <v>58.7</v>
      </c>
      <c r="N37" s="109">
        <v>164.9</v>
      </c>
      <c r="O37" s="109">
        <v>138.80000000000001</v>
      </c>
      <c r="P37" s="109">
        <v>31.5</v>
      </c>
      <c r="Q37" s="109">
        <v>0</v>
      </c>
      <c r="R37" s="109">
        <v>0</v>
      </c>
      <c r="S37" s="109">
        <v>0</v>
      </c>
    </row>
    <row r="38" spans="1:19" x14ac:dyDescent="0.25">
      <c r="A38" s="108">
        <v>37622</v>
      </c>
      <c r="B38" s="109">
        <v>814.5</v>
      </c>
      <c r="C38" s="109">
        <v>0</v>
      </c>
      <c r="G38">
        <v>2011</v>
      </c>
      <c r="H38" s="109">
        <v>0</v>
      </c>
      <c r="I38" s="109">
        <v>0</v>
      </c>
      <c r="J38" s="109">
        <v>0</v>
      </c>
      <c r="K38" s="109">
        <v>0</v>
      </c>
      <c r="L38" s="109">
        <v>13</v>
      </c>
      <c r="M38" s="109">
        <v>52.2</v>
      </c>
      <c r="N38" s="109">
        <v>198.5</v>
      </c>
      <c r="O38" s="109">
        <v>122.2</v>
      </c>
      <c r="P38" s="109">
        <v>39.700000000000003</v>
      </c>
      <c r="Q38" s="109">
        <v>2.4</v>
      </c>
      <c r="R38" s="109">
        <v>0</v>
      </c>
      <c r="S38" s="109">
        <v>0</v>
      </c>
    </row>
    <row r="39" spans="1:19" x14ac:dyDescent="0.25">
      <c r="A39" s="108">
        <v>37653</v>
      </c>
      <c r="B39" s="109">
        <v>699</v>
      </c>
      <c r="C39" s="109">
        <v>0</v>
      </c>
      <c r="G39">
        <v>2012</v>
      </c>
      <c r="H39" s="109">
        <v>0</v>
      </c>
      <c r="I39" s="109">
        <v>0</v>
      </c>
      <c r="J39" s="109">
        <v>0.2</v>
      </c>
      <c r="K39" s="109">
        <v>0</v>
      </c>
      <c r="L39" s="109">
        <v>36.700000000000003</v>
      </c>
      <c r="M39" s="109">
        <v>101.6</v>
      </c>
      <c r="N39" s="109">
        <v>195.4</v>
      </c>
      <c r="O39" s="109">
        <v>112.1</v>
      </c>
      <c r="P39" s="109">
        <v>35.6</v>
      </c>
      <c r="Q39" s="109">
        <v>1.1000000000000001</v>
      </c>
      <c r="R39" s="109">
        <v>0</v>
      </c>
      <c r="S39" s="109">
        <v>0</v>
      </c>
    </row>
    <row r="40" spans="1:19" x14ac:dyDescent="0.25">
      <c r="A40" s="108">
        <v>37681</v>
      </c>
      <c r="B40" s="109">
        <v>581.1</v>
      </c>
      <c r="C40" s="109">
        <v>0</v>
      </c>
      <c r="G40">
        <v>2013</v>
      </c>
      <c r="H40" s="32">
        <v>0</v>
      </c>
      <c r="I40" s="32">
        <v>0</v>
      </c>
      <c r="J40" s="32">
        <v>0</v>
      </c>
      <c r="K40" s="32">
        <v>0</v>
      </c>
      <c r="L40" s="32">
        <v>23.1</v>
      </c>
      <c r="M40" s="32">
        <v>59.6</v>
      </c>
      <c r="N40" s="32">
        <v>120.8</v>
      </c>
      <c r="O40" s="32">
        <v>93.8</v>
      </c>
      <c r="P40" s="32">
        <v>28.1</v>
      </c>
      <c r="Q40" s="32">
        <v>0.4</v>
      </c>
      <c r="R40" s="32">
        <v>0</v>
      </c>
      <c r="S40" s="32">
        <v>0</v>
      </c>
    </row>
    <row r="41" spans="1:19" x14ac:dyDescent="0.25">
      <c r="A41" s="108">
        <v>37712</v>
      </c>
      <c r="B41" s="109">
        <v>372.5</v>
      </c>
      <c r="C41" s="109">
        <v>2.4</v>
      </c>
      <c r="G41">
        <v>2014</v>
      </c>
      <c r="H41" s="32">
        <v>0</v>
      </c>
      <c r="I41" s="32">
        <v>0</v>
      </c>
      <c r="J41" s="32">
        <v>0</v>
      </c>
      <c r="K41" s="32">
        <v>0</v>
      </c>
      <c r="L41" s="32">
        <v>11.9</v>
      </c>
      <c r="M41" s="32">
        <v>68.099999999999994</v>
      </c>
      <c r="N41" s="32">
        <v>71</v>
      </c>
      <c r="O41" s="32">
        <v>81.8</v>
      </c>
      <c r="P41" s="32">
        <v>30.1</v>
      </c>
      <c r="Q41" s="32">
        <v>1.3</v>
      </c>
      <c r="R41" s="32">
        <v>0</v>
      </c>
      <c r="S41" s="32">
        <v>0</v>
      </c>
    </row>
    <row r="42" spans="1:19" x14ac:dyDescent="0.25">
      <c r="A42" s="108">
        <v>37742</v>
      </c>
      <c r="B42" s="109">
        <v>177.9</v>
      </c>
      <c r="C42" s="109">
        <v>0</v>
      </c>
      <c r="G42">
        <v>2015</v>
      </c>
      <c r="H42" s="104">
        <v>0</v>
      </c>
      <c r="I42" s="104">
        <v>0</v>
      </c>
      <c r="J42">
        <v>0</v>
      </c>
      <c r="K42">
        <v>0</v>
      </c>
      <c r="L42">
        <v>34.1</v>
      </c>
      <c r="M42">
        <v>32.299999999999997</v>
      </c>
      <c r="N42">
        <v>114.29999999999998</v>
      </c>
      <c r="O42">
        <v>88.6</v>
      </c>
      <c r="P42">
        <v>81.900000000000006</v>
      </c>
      <c r="Q42">
        <v>0</v>
      </c>
      <c r="R42">
        <v>0</v>
      </c>
      <c r="S42" s="32">
        <v>0</v>
      </c>
    </row>
    <row r="43" spans="1:19" x14ac:dyDescent="0.25">
      <c r="A43" s="108">
        <v>37773</v>
      </c>
      <c r="B43" s="109">
        <v>43.4</v>
      </c>
      <c r="C43" s="109">
        <v>52.9</v>
      </c>
      <c r="G43">
        <v>2016</v>
      </c>
      <c r="H43" s="104">
        <v>0</v>
      </c>
      <c r="I43" s="104">
        <v>0</v>
      </c>
      <c r="J43">
        <v>0</v>
      </c>
      <c r="K43">
        <v>0</v>
      </c>
      <c r="L43">
        <v>36.9</v>
      </c>
      <c r="M43">
        <v>83.7</v>
      </c>
      <c r="N43">
        <v>176.89999999999998</v>
      </c>
      <c r="O43">
        <v>195.4</v>
      </c>
      <c r="P43">
        <v>69.400000000000006</v>
      </c>
      <c r="Q43">
        <v>4.0999999999999996</v>
      </c>
      <c r="R43">
        <v>0</v>
      </c>
      <c r="S43">
        <v>0</v>
      </c>
    </row>
    <row r="44" spans="1:19" x14ac:dyDescent="0.25">
      <c r="A44" s="108">
        <v>37803</v>
      </c>
      <c r="B44" s="109">
        <v>0.2</v>
      </c>
      <c r="C44" s="109">
        <v>118.3</v>
      </c>
      <c r="G44">
        <v>2017</v>
      </c>
      <c r="H44" s="104">
        <v>0</v>
      </c>
      <c r="I44" s="104">
        <v>0</v>
      </c>
      <c r="J44">
        <v>0</v>
      </c>
      <c r="K44">
        <v>0</v>
      </c>
      <c r="L44">
        <v>9</v>
      </c>
      <c r="M44">
        <v>68.2</v>
      </c>
      <c r="N44">
        <v>116.49999999999999</v>
      </c>
      <c r="O44">
        <v>75.2</v>
      </c>
      <c r="P44">
        <v>71.499999999999986</v>
      </c>
      <c r="Q44">
        <v>8.1</v>
      </c>
      <c r="R44">
        <v>0</v>
      </c>
      <c r="S44">
        <v>0</v>
      </c>
    </row>
    <row r="45" spans="1:19" x14ac:dyDescent="0.25">
      <c r="A45" s="108">
        <v>37834</v>
      </c>
      <c r="B45" s="109">
        <v>2</v>
      </c>
      <c r="C45" s="109">
        <v>128</v>
      </c>
      <c r="G45">
        <v>2018</v>
      </c>
      <c r="H45" s="104">
        <v>0</v>
      </c>
      <c r="I45" s="104">
        <v>0</v>
      </c>
      <c r="J45">
        <v>0</v>
      </c>
      <c r="K45">
        <v>0</v>
      </c>
      <c r="L45">
        <v>43.4</v>
      </c>
      <c r="M45">
        <v>60.5</v>
      </c>
      <c r="N45">
        <v>167.8</v>
      </c>
      <c r="O45">
        <v>162.4</v>
      </c>
      <c r="P45">
        <v>76.399999999999977</v>
      </c>
      <c r="Q45">
        <v>8.1999999999999993</v>
      </c>
      <c r="R45">
        <v>0</v>
      </c>
      <c r="S45">
        <v>0</v>
      </c>
    </row>
    <row r="46" spans="1:19" x14ac:dyDescent="0.25">
      <c r="A46" s="108">
        <v>37865</v>
      </c>
      <c r="B46" s="109">
        <v>54.9</v>
      </c>
      <c r="C46" s="109">
        <v>24</v>
      </c>
      <c r="G46">
        <v>2019</v>
      </c>
      <c r="H46">
        <v>0</v>
      </c>
      <c r="I46">
        <v>0</v>
      </c>
      <c r="J46">
        <v>0</v>
      </c>
      <c r="K46">
        <v>0</v>
      </c>
      <c r="L46">
        <v>0</v>
      </c>
      <c r="M46">
        <v>41.300000000000004</v>
      </c>
      <c r="N46">
        <v>166.90000000000003</v>
      </c>
      <c r="O46">
        <v>103.30000000000003</v>
      </c>
      <c r="P46">
        <v>25.400000000000002</v>
      </c>
      <c r="Q46">
        <v>5.0999999999999996</v>
      </c>
      <c r="R46">
        <v>0</v>
      </c>
      <c r="S46">
        <v>0</v>
      </c>
    </row>
    <row r="47" spans="1:19" x14ac:dyDescent="0.25">
      <c r="A47" s="108">
        <v>37895</v>
      </c>
      <c r="B47" s="109">
        <v>276</v>
      </c>
      <c r="C47" s="109">
        <v>0</v>
      </c>
      <c r="G47" s="114" t="s">
        <v>114</v>
      </c>
      <c r="H47" s="115">
        <f>TREND(H27:H46,$G$27:$G$46,2021)</f>
        <v>0</v>
      </c>
      <c r="I47" s="115">
        <f t="shared" ref="I47:S47" si="1">TREND(I27:I46,$G$27:$G$46,2021)</f>
        <v>0</v>
      </c>
      <c r="J47" s="115">
        <f t="shared" si="1"/>
        <v>1.8646616541353467E-2</v>
      </c>
      <c r="K47" s="115">
        <v>0</v>
      </c>
      <c r="L47" s="115">
        <f t="shared" si="1"/>
        <v>27.570751879699174</v>
      </c>
      <c r="M47" s="115">
        <f t="shared" si="1"/>
        <v>59.702932330827252</v>
      </c>
      <c r="N47" s="115">
        <f t="shared" si="1"/>
        <v>154.03842105263175</v>
      </c>
      <c r="O47" s="115">
        <f t="shared" si="1"/>
        <v>114.05969924812028</v>
      </c>
      <c r="P47" s="115">
        <f t="shared" si="1"/>
        <v>54.051127819549038</v>
      </c>
      <c r="Q47" s="115">
        <f t="shared" si="1"/>
        <v>4.0399999999999991</v>
      </c>
      <c r="R47" s="115">
        <f t="shared" si="1"/>
        <v>0</v>
      </c>
      <c r="S47" s="115">
        <f t="shared" si="1"/>
        <v>0</v>
      </c>
    </row>
    <row r="48" spans="1:19" x14ac:dyDescent="0.25">
      <c r="A48" s="108">
        <v>37926</v>
      </c>
      <c r="B48" s="109">
        <v>398.5</v>
      </c>
      <c r="C48" s="109">
        <v>0</v>
      </c>
    </row>
    <row r="49" spans="1:3" x14ac:dyDescent="0.25">
      <c r="A49" s="108">
        <v>37956</v>
      </c>
      <c r="B49" s="109">
        <v>561.5</v>
      </c>
      <c r="C49" s="109">
        <v>0</v>
      </c>
    </row>
    <row r="50" spans="1:3" x14ac:dyDescent="0.25">
      <c r="A50" s="108">
        <v>37987</v>
      </c>
      <c r="B50" s="109">
        <v>849.1</v>
      </c>
      <c r="C50" s="109">
        <v>0</v>
      </c>
    </row>
    <row r="51" spans="1:3" x14ac:dyDescent="0.25">
      <c r="A51" s="108">
        <v>38018</v>
      </c>
      <c r="B51" s="109">
        <v>631.70000000000005</v>
      </c>
      <c r="C51" s="109">
        <v>0</v>
      </c>
    </row>
    <row r="52" spans="1:3" x14ac:dyDescent="0.25">
      <c r="A52" s="108">
        <v>38047</v>
      </c>
      <c r="B52" s="109">
        <v>487.3</v>
      </c>
      <c r="C52" s="109">
        <v>0</v>
      </c>
    </row>
    <row r="53" spans="1:3" x14ac:dyDescent="0.25">
      <c r="A53" s="108">
        <v>38078</v>
      </c>
      <c r="B53" s="109">
        <v>331.5</v>
      </c>
      <c r="C53" s="109">
        <v>0</v>
      </c>
    </row>
    <row r="54" spans="1:3" x14ac:dyDescent="0.25">
      <c r="A54" s="108">
        <v>38108</v>
      </c>
      <c r="B54" s="109">
        <v>158.9</v>
      </c>
      <c r="C54" s="109">
        <v>8.6</v>
      </c>
    </row>
    <row r="55" spans="1:3" x14ac:dyDescent="0.25">
      <c r="A55" s="108">
        <v>38139</v>
      </c>
      <c r="B55" s="109">
        <v>44.2</v>
      </c>
      <c r="C55" s="109">
        <v>31.6</v>
      </c>
    </row>
    <row r="56" spans="1:3" x14ac:dyDescent="0.25">
      <c r="A56" s="108">
        <v>38169</v>
      </c>
      <c r="B56" s="109">
        <v>3.6</v>
      </c>
      <c r="C56" s="109">
        <v>86.4</v>
      </c>
    </row>
    <row r="57" spans="1:3" x14ac:dyDescent="0.25">
      <c r="A57" s="108">
        <v>38200</v>
      </c>
      <c r="B57" s="109">
        <v>12.8</v>
      </c>
      <c r="C57" s="109">
        <v>59.6</v>
      </c>
    </row>
    <row r="58" spans="1:3" x14ac:dyDescent="0.25">
      <c r="A58" s="108">
        <v>38231</v>
      </c>
      <c r="B58" s="109">
        <v>30</v>
      </c>
      <c r="C58" s="109">
        <v>41.2</v>
      </c>
    </row>
    <row r="59" spans="1:3" x14ac:dyDescent="0.25">
      <c r="A59" s="108">
        <v>38261</v>
      </c>
      <c r="B59" s="109">
        <v>226.3</v>
      </c>
      <c r="C59" s="109">
        <v>1.5</v>
      </c>
    </row>
    <row r="60" spans="1:3" x14ac:dyDescent="0.25">
      <c r="A60" s="108">
        <v>38292</v>
      </c>
      <c r="B60" s="109">
        <v>379.1</v>
      </c>
      <c r="C60" s="109">
        <v>0</v>
      </c>
    </row>
    <row r="61" spans="1:3" x14ac:dyDescent="0.25">
      <c r="A61" s="108">
        <v>38322</v>
      </c>
      <c r="B61" s="109">
        <v>643.4</v>
      </c>
      <c r="C61" s="109">
        <v>0</v>
      </c>
    </row>
    <row r="62" spans="1:3" x14ac:dyDescent="0.25">
      <c r="A62" s="108">
        <v>38353</v>
      </c>
      <c r="B62" s="109">
        <v>770</v>
      </c>
      <c r="C62" s="109">
        <v>0</v>
      </c>
    </row>
    <row r="63" spans="1:3" x14ac:dyDescent="0.25">
      <c r="A63" s="108">
        <v>38384</v>
      </c>
      <c r="B63" s="109">
        <v>616.4</v>
      </c>
      <c r="C63" s="109">
        <v>0</v>
      </c>
    </row>
    <row r="64" spans="1:3" x14ac:dyDescent="0.25">
      <c r="A64" s="108">
        <v>38412</v>
      </c>
      <c r="B64" s="109">
        <v>608.6</v>
      </c>
      <c r="C64" s="109">
        <v>0</v>
      </c>
    </row>
    <row r="65" spans="1:3" x14ac:dyDescent="0.25">
      <c r="A65" s="108">
        <v>38443</v>
      </c>
      <c r="B65" s="109">
        <v>306.8</v>
      </c>
      <c r="C65" s="109">
        <v>0</v>
      </c>
    </row>
    <row r="66" spans="1:3" x14ac:dyDescent="0.25">
      <c r="A66" s="108">
        <v>38473</v>
      </c>
      <c r="B66" s="109">
        <v>189.4</v>
      </c>
      <c r="C66" s="109">
        <v>0.8</v>
      </c>
    </row>
    <row r="67" spans="1:3" x14ac:dyDescent="0.25">
      <c r="A67" s="108">
        <v>38504</v>
      </c>
      <c r="B67" s="109">
        <v>8.9</v>
      </c>
      <c r="C67" s="109">
        <v>146.30000000000001</v>
      </c>
    </row>
    <row r="68" spans="1:3" x14ac:dyDescent="0.25">
      <c r="A68" s="108">
        <v>38534</v>
      </c>
      <c r="B68" s="109">
        <v>0</v>
      </c>
      <c r="C68" s="109">
        <v>188.7</v>
      </c>
    </row>
    <row r="69" spans="1:3" x14ac:dyDescent="0.25">
      <c r="A69" s="108">
        <v>38565</v>
      </c>
      <c r="B69" s="109">
        <v>0.2</v>
      </c>
      <c r="C69" s="109">
        <v>140.69999999999999</v>
      </c>
    </row>
    <row r="70" spans="1:3" x14ac:dyDescent="0.25">
      <c r="A70" s="108">
        <v>38596</v>
      </c>
      <c r="B70" s="109">
        <v>22.6</v>
      </c>
      <c r="C70" s="109">
        <v>52.1</v>
      </c>
    </row>
    <row r="71" spans="1:3" x14ac:dyDescent="0.25">
      <c r="A71" s="108">
        <v>38626</v>
      </c>
      <c r="B71" s="109">
        <v>220.2</v>
      </c>
      <c r="C71" s="109">
        <v>7.6</v>
      </c>
    </row>
    <row r="72" spans="1:3" x14ac:dyDescent="0.25">
      <c r="A72" s="108">
        <v>38657</v>
      </c>
      <c r="B72" s="109">
        <v>388.4</v>
      </c>
      <c r="C72" s="109">
        <v>0</v>
      </c>
    </row>
    <row r="73" spans="1:3" x14ac:dyDescent="0.25">
      <c r="A73" s="108">
        <v>38687</v>
      </c>
      <c r="B73" s="109">
        <v>665.3</v>
      </c>
      <c r="C73" s="109">
        <v>0</v>
      </c>
    </row>
    <row r="74" spans="1:3" x14ac:dyDescent="0.25">
      <c r="A74" s="108">
        <v>38718</v>
      </c>
      <c r="B74" s="109">
        <v>551.79999999999995</v>
      </c>
      <c r="C74" s="109">
        <v>0</v>
      </c>
    </row>
    <row r="75" spans="1:3" x14ac:dyDescent="0.25">
      <c r="A75" s="108">
        <v>38749</v>
      </c>
      <c r="B75" s="109">
        <v>604.29999999999995</v>
      </c>
      <c r="C75" s="109">
        <v>0</v>
      </c>
    </row>
    <row r="76" spans="1:3" x14ac:dyDescent="0.25">
      <c r="A76" s="108">
        <v>38777</v>
      </c>
      <c r="B76" s="109">
        <v>516.6</v>
      </c>
      <c r="C76" s="109">
        <v>0</v>
      </c>
    </row>
    <row r="77" spans="1:3" x14ac:dyDescent="0.25">
      <c r="A77" s="108">
        <v>38808</v>
      </c>
      <c r="B77" s="109">
        <v>293.3</v>
      </c>
      <c r="C77" s="109">
        <v>0</v>
      </c>
    </row>
    <row r="78" spans="1:3" x14ac:dyDescent="0.25">
      <c r="A78" s="108">
        <v>38838</v>
      </c>
      <c r="B78" s="109">
        <v>136.9</v>
      </c>
      <c r="C78" s="109">
        <v>26</v>
      </c>
    </row>
    <row r="79" spans="1:3" x14ac:dyDescent="0.25">
      <c r="A79" s="108">
        <v>38869</v>
      </c>
      <c r="B79" s="109">
        <v>19.5</v>
      </c>
      <c r="C79" s="109">
        <v>73.599999999999994</v>
      </c>
    </row>
    <row r="80" spans="1:3" x14ac:dyDescent="0.25">
      <c r="A80" s="108">
        <v>38899</v>
      </c>
      <c r="B80" s="109">
        <v>0</v>
      </c>
      <c r="C80" s="109">
        <v>167.3</v>
      </c>
    </row>
    <row r="81" spans="1:9" x14ac:dyDescent="0.25">
      <c r="A81" s="108">
        <v>38930</v>
      </c>
      <c r="B81" s="109">
        <v>4.2</v>
      </c>
      <c r="C81" s="109">
        <v>101.6</v>
      </c>
    </row>
    <row r="82" spans="1:9" x14ac:dyDescent="0.25">
      <c r="A82" s="108">
        <v>38961</v>
      </c>
      <c r="B82" s="109">
        <v>80.900000000000006</v>
      </c>
      <c r="C82" s="109">
        <v>12.9</v>
      </c>
    </row>
    <row r="83" spans="1:9" x14ac:dyDescent="0.25">
      <c r="A83" s="108">
        <v>38991</v>
      </c>
      <c r="B83" s="109">
        <v>288.3</v>
      </c>
      <c r="C83" s="109">
        <v>1.1000000000000001</v>
      </c>
    </row>
    <row r="84" spans="1:9" x14ac:dyDescent="0.25">
      <c r="A84" s="108">
        <v>39022</v>
      </c>
      <c r="B84" s="109">
        <v>382.2</v>
      </c>
      <c r="C84" s="109">
        <v>0</v>
      </c>
    </row>
    <row r="85" spans="1:9" x14ac:dyDescent="0.25">
      <c r="A85" s="108">
        <v>39052</v>
      </c>
      <c r="B85" s="109">
        <v>500.5</v>
      </c>
      <c r="C85" s="109">
        <v>0</v>
      </c>
    </row>
    <row r="86" spans="1:9" x14ac:dyDescent="0.25">
      <c r="A86" s="108">
        <v>39083</v>
      </c>
      <c r="B86" s="109">
        <v>647.1</v>
      </c>
      <c r="C86" s="109">
        <v>0</v>
      </c>
    </row>
    <row r="87" spans="1:9" x14ac:dyDescent="0.25">
      <c r="A87" s="108">
        <v>39114</v>
      </c>
      <c r="B87" s="109">
        <v>740.1</v>
      </c>
      <c r="C87" s="109">
        <v>0</v>
      </c>
      <c r="G87" s="32"/>
    </row>
    <row r="88" spans="1:9" x14ac:dyDescent="0.25">
      <c r="A88" s="108">
        <v>39142</v>
      </c>
      <c r="B88" s="109">
        <v>546.70000000000005</v>
      </c>
      <c r="C88" s="109">
        <v>0</v>
      </c>
      <c r="G88" s="32"/>
    </row>
    <row r="89" spans="1:9" x14ac:dyDescent="0.25">
      <c r="A89" s="108">
        <v>39173</v>
      </c>
      <c r="B89" s="109">
        <v>356.4</v>
      </c>
      <c r="C89" s="109">
        <v>0</v>
      </c>
      <c r="G89" s="105"/>
      <c r="H89" s="103"/>
      <c r="I89" s="103"/>
    </row>
    <row r="90" spans="1:9" x14ac:dyDescent="0.25">
      <c r="A90" s="108">
        <v>39203</v>
      </c>
      <c r="B90" s="109">
        <v>136.4</v>
      </c>
      <c r="C90" s="109">
        <v>22.4</v>
      </c>
      <c r="G90" s="105"/>
      <c r="H90" s="103"/>
      <c r="I90" s="103"/>
    </row>
    <row r="91" spans="1:9" x14ac:dyDescent="0.25">
      <c r="A91" s="108">
        <v>39234</v>
      </c>
      <c r="B91" s="109">
        <v>16.5</v>
      </c>
      <c r="C91" s="109">
        <v>99.2</v>
      </c>
      <c r="G91" s="105"/>
      <c r="H91" s="103"/>
      <c r="I91" s="103"/>
    </row>
    <row r="92" spans="1:9" x14ac:dyDescent="0.25">
      <c r="A92" s="108">
        <v>39264</v>
      </c>
      <c r="B92" s="109">
        <v>3.2</v>
      </c>
      <c r="C92" s="109">
        <v>106.1</v>
      </c>
      <c r="G92" s="105"/>
      <c r="H92" s="103"/>
      <c r="I92" s="103"/>
    </row>
    <row r="93" spans="1:9" x14ac:dyDescent="0.25">
      <c r="A93" s="108">
        <v>39295</v>
      </c>
      <c r="B93" s="109">
        <v>5.2</v>
      </c>
      <c r="C93" s="109">
        <v>141</v>
      </c>
      <c r="G93" s="105"/>
      <c r="H93" s="103"/>
      <c r="I93" s="103"/>
    </row>
    <row r="94" spans="1:9" x14ac:dyDescent="0.25">
      <c r="A94" s="108">
        <v>39326</v>
      </c>
      <c r="B94" s="109">
        <v>36.9</v>
      </c>
      <c r="C94" s="109">
        <v>47.5</v>
      </c>
      <c r="G94" s="105"/>
      <c r="H94" s="103"/>
      <c r="I94" s="103"/>
    </row>
    <row r="95" spans="1:9" x14ac:dyDescent="0.25">
      <c r="A95" s="108">
        <v>39356</v>
      </c>
      <c r="B95" s="109">
        <v>137.69999999999999</v>
      </c>
      <c r="C95" s="109">
        <v>19.8</v>
      </c>
      <c r="G95" s="105"/>
      <c r="H95" s="103"/>
      <c r="I95" s="103"/>
    </row>
    <row r="96" spans="1:9" x14ac:dyDescent="0.25">
      <c r="A96" s="108">
        <v>39387</v>
      </c>
      <c r="B96" s="109">
        <v>462.5</v>
      </c>
      <c r="C96" s="109">
        <v>0</v>
      </c>
      <c r="F96" s="32"/>
      <c r="G96" s="105"/>
      <c r="H96" s="103"/>
      <c r="I96" s="103"/>
    </row>
    <row r="97" spans="1:9" x14ac:dyDescent="0.25">
      <c r="A97" s="108">
        <v>39417</v>
      </c>
      <c r="B97" s="109">
        <v>630.70000000000005</v>
      </c>
      <c r="C97" s="109">
        <v>0</v>
      </c>
      <c r="F97" s="32"/>
      <c r="G97" s="105"/>
      <c r="H97" s="103"/>
      <c r="I97" s="103"/>
    </row>
    <row r="98" spans="1:9" x14ac:dyDescent="0.25">
      <c r="A98" s="108">
        <v>39448</v>
      </c>
      <c r="B98" s="109">
        <v>623.5</v>
      </c>
      <c r="C98" s="109">
        <v>0</v>
      </c>
      <c r="E98" s="102"/>
      <c r="F98" s="105"/>
      <c r="G98" s="105"/>
      <c r="H98" s="103"/>
      <c r="I98" s="103"/>
    </row>
    <row r="99" spans="1:9" x14ac:dyDescent="0.25">
      <c r="A99" s="108">
        <v>39479</v>
      </c>
      <c r="B99" s="109">
        <v>674.7</v>
      </c>
      <c r="C99" s="109">
        <v>0</v>
      </c>
      <c r="E99" s="102"/>
      <c r="F99" s="105"/>
      <c r="G99" s="105"/>
      <c r="H99" s="103"/>
      <c r="I99" s="103"/>
    </row>
    <row r="100" spans="1:9" x14ac:dyDescent="0.25">
      <c r="A100" s="108">
        <v>39508</v>
      </c>
      <c r="B100" s="109">
        <v>610.20000000000005</v>
      </c>
      <c r="C100" s="109">
        <v>0</v>
      </c>
      <c r="E100" s="102"/>
      <c r="F100" s="105"/>
      <c r="G100" s="105"/>
      <c r="H100" s="103"/>
      <c r="I100" s="103"/>
    </row>
    <row r="101" spans="1:9" x14ac:dyDescent="0.25">
      <c r="A101" s="108">
        <v>39539</v>
      </c>
      <c r="B101" s="109">
        <v>253.9</v>
      </c>
      <c r="C101" s="109">
        <v>0</v>
      </c>
      <c r="E101" s="102"/>
      <c r="F101" s="105"/>
      <c r="G101" s="105"/>
      <c r="H101" s="103"/>
      <c r="I101" s="103"/>
    </row>
    <row r="102" spans="1:9" x14ac:dyDescent="0.25">
      <c r="A102" s="108">
        <v>39569</v>
      </c>
      <c r="B102" s="109">
        <v>193.5</v>
      </c>
      <c r="C102" s="109">
        <v>2.5</v>
      </c>
      <c r="E102" s="102"/>
      <c r="F102" s="105"/>
      <c r="G102" s="105"/>
      <c r="H102" s="103"/>
      <c r="I102" s="103"/>
    </row>
    <row r="103" spans="1:9" x14ac:dyDescent="0.25">
      <c r="A103" s="108">
        <v>39600</v>
      </c>
      <c r="B103" s="109">
        <v>22.7</v>
      </c>
      <c r="C103" s="109">
        <v>71.5</v>
      </c>
      <c r="E103" s="102"/>
      <c r="F103" s="105"/>
      <c r="G103" s="105"/>
      <c r="H103" s="103"/>
      <c r="I103" s="103"/>
    </row>
    <row r="104" spans="1:9" x14ac:dyDescent="0.25">
      <c r="A104" s="108">
        <v>39630</v>
      </c>
      <c r="B104" s="109">
        <v>1</v>
      </c>
      <c r="C104" s="109">
        <v>111</v>
      </c>
      <c r="E104" s="102"/>
      <c r="F104" s="105"/>
      <c r="G104" s="105"/>
      <c r="H104" s="103"/>
      <c r="I104" s="103"/>
    </row>
    <row r="105" spans="1:9" x14ac:dyDescent="0.25">
      <c r="A105" s="108">
        <v>39661</v>
      </c>
      <c r="B105" s="109">
        <v>12.7</v>
      </c>
      <c r="C105" s="109">
        <v>64</v>
      </c>
      <c r="E105" s="102"/>
      <c r="F105" s="105"/>
      <c r="G105" s="105"/>
      <c r="H105" s="103"/>
      <c r="I105" s="103"/>
    </row>
    <row r="106" spans="1:9" x14ac:dyDescent="0.25">
      <c r="A106" s="108">
        <v>39692</v>
      </c>
      <c r="B106" s="109">
        <v>59.5</v>
      </c>
      <c r="C106" s="109">
        <v>26.7</v>
      </c>
      <c r="E106" s="102"/>
      <c r="F106" s="105"/>
      <c r="G106" s="105"/>
      <c r="H106" s="103"/>
      <c r="I106" s="103"/>
    </row>
    <row r="107" spans="1:9" x14ac:dyDescent="0.25">
      <c r="A107" s="108">
        <v>39722</v>
      </c>
      <c r="B107" s="109">
        <v>278.60000000000002</v>
      </c>
      <c r="C107" s="109">
        <v>0</v>
      </c>
      <c r="E107" s="102"/>
      <c r="F107" s="105"/>
      <c r="G107" s="105"/>
      <c r="H107" s="103"/>
      <c r="I107" s="103"/>
    </row>
    <row r="108" spans="1:9" x14ac:dyDescent="0.25">
      <c r="A108" s="108">
        <v>39753</v>
      </c>
      <c r="B108" s="109">
        <v>451.6</v>
      </c>
      <c r="C108" s="109">
        <v>0</v>
      </c>
      <c r="E108" s="102"/>
      <c r="F108" s="105"/>
      <c r="G108" s="105"/>
      <c r="H108" s="103"/>
      <c r="I108" s="103"/>
    </row>
    <row r="109" spans="1:9" x14ac:dyDescent="0.25">
      <c r="A109" s="108">
        <v>39783</v>
      </c>
      <c r="B109" s="109">
        <v>654.6</v>
      </c>
      <c r="C109" s="109">
        <v>0</v>
      </c>
      <c r="E109" s="102"/>
      <c r="F109" s="105"/>
      <c r="G109" s="105"/>
      <c r="H109" s="103"/>
      <c r="I109" s="103"/>
    </row>
    <row r="110" spans="1:9" x14ac:dyDescent="0.25">
      <c r="A110" s="108">
        <v>39814</v>
      </c>
      <c r="B110" s="109">
        <v>830.2</v>
      </c>
      <c r="C110" s="109">
        <v>0</v>
      </c>
      <c r="E110" s="102"/>
      <c r="F110" s="105"/>
      <c r="G110" s="105"/>
      <c r="H110" s="103"/>
      <c r="I110" s="103"/>
    </row>
    <row r="111" spans="1:9" x14ac:dyDescent="0.25">
      <c r="A111" s="108">
        <v>39845</v>
      </c>
      <c r="B111" s="109">
        <v>606.4</v>
      </c>
      <c r="C111" s="109">
        <v>0</v>
      </c>
      <c r="E111" s="102"/>
      <c r="F111" s="105"/>
      <c r="G111" s="105"/>
      <c r="H111" s="103"/>
      <c r="I111" s="103"/>
    </row>
    <row r="112" spans="1:9" x14ac:dyDescent="0.25">
      <c r="A112" s="108">
        <v>39873</v>
      </c>
      <c r="B112" s="109">
        <v>533.79999999999995</v>
      </c>
      <c r="C112" s="109">
        <v>0</v>
      </c>
      <c r="E112" s="102"/>
      <c r="F112" s="105"/>
      <c r="G112" s="105"/>
      <c r="H112" s="103"/>
      <c r="I112" s="103"/>
    </row>
    <row r="113" spans="1:9" x14ac:dyDescent="0.25">
      <c r="A113" s="108">
        <v>39904</v>
      </c>
      <c r="B113" s="109">
        <v>305.8</v>
      </c>
      <c r="C113" s="109">
        <v>1.2</v>
      </c>
      <c r="E113" s="102"/>
      <c r="F113" s="105"/>
      <c r="G113" s="105"/>
      <c r="H113" s="103"/>
      <c r="I113" s="103"/>
    </row>
    <row r="114" spans="1:9" x14ac:dyDescent="0.25">
      <c r="A114" s="108">
        <v>39934</v>
      </c>
      <c r="B114" s="109">
        <v>158.80000000000001</v>
      </c>
      <c r="C114" s="109">
        <v>6.9</v>
      </c>
      <c r="E114" s="102"/>
      <c r="F114" s="105"/>
      <c r="G114" s="105"/>
      <c r="H114" s="103"/>
      <c r="I114" s="103"/>
    </row>
    <row r="115" spans="1:9" x14ac:dyDescent="0.25">
      <c r="A115" s="108">
        <v>39965</v>
      </c>
      <c r="B115" s="109">
        <v>49.3</v>
      </c>
      <c r="C115" s="109">
        <v>34.200000000000003</v>
      </c>
      <c r="E115" s="102"/>
      <c r="F115" s="105"/>
      <c r="G115" s="105"/>
      <c r="H115" s="103"/>
      <c r="I115" s="103"/>
    </row>
    <row r="116" spans="1:9" x14ac:dyDescent="0.25">
      <c r="A116" s="108">
        <v>39995</v>
      </c>
      <c r="B116" s="109">
        <v>6.2</v>
      </c>
      <c r="C116" s="109">
        <v>43.7</v>
      </c>
      <c r="E116" s="102"/>
      <c r="F116" s="105"/>
      <c r="G116" s="105"/>
      <c r="H116" s="103"/>
      <c r="I116" s="103"/>
    </row>
    <row r="117" spans="1:9" x14ac:dyDescent="0.25">
      <c r="A117" s="108">
        <v>40026</v>
      </c>
      <c r="B117" s="109">
        <v>9.8000000000000007</v>
      </c>
      <c r="C117" s="109">
        <v>91</v>
      </c>
      <c r="E117" s="102"/>
      <c r="F117" s="105"/>
      <c r="G117" s="105"/>
      <c r="H117" s="103"/>
      <c r="I117" s="103"/>
    </row>
    <row r="118" spans="1:9" x14ac:dyDescent="0.25">
      <c r="A118" s="108">
        <v>40057</v>
      </c>
      <c r="B118" s="109">
        <v>55.2</v>
      </c>
      <c r="C118" s="109">
        <v>20.9</v>
      </c>
      <c r="E118" s="102"/>
      <c r="F118" s="105"/>
      <c r="G118" s="105"/>
      <c r="H118" s="103"/>
      <c r="I118" s="103"/>
    </row>
    <row r="119" spans="1:9" x14ac:dyDescent="0.25">
      <c r="A119" s="108">
        <v>40087</v>
      </c>
      <c r="B119" s="109">
        <v>287.8</v>
      </c>
      <c r="C119" s="109">
        <v>0</v>
      </c>
      <c r="E119" s="102"/>
      <c r="F119" s="105"/>
      <c r="G119" s="105"/>
      <c r="H119" s="103"/>
      <c r="I119" s="103"/>
    </row>
    <row r="120" spans="1:9" x14ac:dyDescent="0.25">
      <c r="A120" s="108">
        <v>40118</v>
      </c>
      <c r="B120" s="109">
        <v>361.2</v>
      </c>
      <c r="C120" s="109">
        <v>0</v>
      </c>
      <c r="E120" s="102"/>
      <c r="F120" s="105"/>
      <c r="G120" s="105"/>
      <c r="H120" s="103"/>
      <c r="I120" s="103"/>
    </row>
    <row r="121" spans="1:9" x14ac:dyDescent="0.25">
      <c r="A121" s="108">
        <v>40148</v>
      </c>
      <c r="B121" s="109">
        <v>631.29999999999995</v>
      </c>
      <c r="C121" s="109">
        <v>0</v>
      </c>
      <c r="E121" s="102"/>
      <c r="F121" s="105"/>
      <c r="G121" s="105"/>
      <c r="H121" s="103"/>
      <c r="I121" s="103"/>
    </row>
    <row r="122" spans="1:9" x14ac:dyDescent="0.25">
      <c r="A122" s="108">
        <v>40179</v>
      </c>
      <c r="B122" s="109">
        <v>720</v>
      </c>
      <c r="C122" s="109">
        <v>0</v>
      </c>
      <c r="E122" s="102"/>
      <c r="F122" s="105"/>
      <c r="G122" s="105"/>
      <c r="H122" s="103"/>
      <c r="I122" s="103"/>
    </row>
    <row r="123" spans="1:9" x14ac:dyDescent="0.25">
      <c r="A123" s="108">
        <v>40210</v>
      </c>
      <c r="B123" s="109">
        <v>598.29999999999995</v>
      </c>
      <c r="C123" s="109">
        <v>0</v>
      </c>
      <c r="E123" s="102"/>
      <c r="F123" s="105"/>
      <c r="G123" s="105"/>
      <c r="H123" s="103"/>
      <c r="I123" s="103"/>
    </row>
    <row r="124" spans="1:9" x14ac:dyDescent="0.25">
      <c r="A124" s="108">
        <v>40238</v>
      </c>
      <c r="B124" s="109">
        <v>422.8</v>
      </c>
      <c r="C124" s="109">
        <v>0</v>
      </c>
      <c r="E124" s="102"/>
      <c r="F124" s="105"/>
      <c r="G124" s="105"/>
      <c r="H124" s="103"/>
      <c r="I124" s="103"/>
    </row>
    <row r="125" spans="1:9" x14ac:dyDescent="0.25">
      <c r="A125" s="108">
        <v>40269</v>
      </c>
      <c r="B125" s="109">
        <v>225.1</v>
      </c>
      <c r="C125" s="109">
        <v>0</v>
      </c>
      <c r="E125" s="102"/>
      <c r="F125" s="105"/>
      <c r="G125" s="105"/>
      <c r="H125" s="103"/>
      <c r="I125" s="103"/>
    </row>
    <row r="126" spans="1:9" x14ac:dyDescent="0.25">
      <c r="A126" s="108">
        <v>40299</v>
      </c>
      <c r="B126" s="109">
        <v>107.9</v>
      </c>
      <c r="C126" s="109">
        <v>45.7</v>
      </c>
      <c r="E126" s="102"/>
      <c r="F126" s="105"/>
      <c r="G126" s="105"/>
      <c r="H126" s="103"/>
      <c r="I126" s="103"/>
    </row>
    <row r="127" spans="1:9" x14ac:dyDescent="0.25">
      <c r="A127" s="108">
        <v>40330</v>
      </c>
      <c r="B127" s="109">
        <v>21.7</v>
      </c>
      <c r="C127" s="109">
        <v>58.7</v>
      </c>
      <c r="E127" s="102"/>
      <c r="F127" s="105"/>
      <c r="G127" s="105"/>
      <c r="H127" s="103"/>
      <c r="I127" s="103"/>
    </row>
    <row r="128" spans="1:9" x14ac:dyDescent="0.25">
      <c r="A128" s="108">
        <v>40360</v>
      </c>
      <c r="B128" s="109">
        <v>1.8</v>
      </c>
      <c r="C128" s="109">
        <v>164.9</v>
      </c>
      <c r="E128" s="102"/>
      <c r="F128" s="105"/>
      <c r="G128" s="105"/>
      <c r="H128" s="103"/>
      <c r="I128" s="103"/>
    </row>
    <row r="129" spans="1:9" x14ac:dyDescent="0.25">
      <c r="A129" s="108">
        <v>40391</v>
      </c>
      <c r="B129" s="109">
        <v>2.1</v>
      </c>
      <c r="C129" s="109">
        <v>138.80000000000001</v>
      </c>
      <c r="E129" s="102"/>
      <c r="F129" s="105"/>
      <c r="G129" s="105"/>
      <c r="H129" s="103"/>
      <c r="I129" s="103"/>
    </row>
    <row r="130" spans="1:9" x14ac:dyDescent="0.25">
      <c r="A130" s="108">
        <v>40422</v>
      </c>
      <c r="B130" s="109">
        <v>78.099999999999994</v>
      </c>
      <c r="C130" s="109">
        <v>31.5</v>
      </c>
      <c r="E130" s="102"/>
      <c r="F130" s="105"/>
      <c r="G130" s="105"/>
      <c r="H130" s="103"/>
      <c r="I130" s="103"/>
    </row>
    <row r="131" spans="1:9" x14ac:dyDescent="0.25">
      <c r="A131" s="108">
        <v>40452</v>
      </c>
      <c r="B131" s="109">
        <v>241.6</v>
      </c>
      <c r="C131" s="109">
        <v>0</v>
      </c>
      <c r="E131" s="102"/>
      <c r="F131" s="105"/>
      <c r="G131" s="105"/>
      <c r="H131" s="103"/>
      <c r="I131" s="103"/>
    </row>
    <row r="132" spans="1:9" x14ac:dyDescent="0.25">
      <c r="A132" s="108">
        <v>40483</v>
      </c>
      <c r="B132" s="109">
        <v>405.3</v>
      </c>
      <c r="C132" s="109">
        <v>0</v>
      </c>
      <c r="E132" s="102"/>
      <c r="F132" s="105"/>
      <c r="G132" s="105"/>
      <c r="H132" s="103"/>
      <c r="I132" s="103"/>
    </row>
    <row r="133" spans="1:9" x14ac:dyDescent="0.25">
      <c r="A133" s="108">
        <v>40513</v>
      </c>
      <c r="B133" s="109">
        <v>676.2</v>
      </c>
      <c r="C133" s="109">
        <v>0</v>
      </c>
      <c r="E133" s="102"/>
      <c r="F133" s="105"/>
      <c r="G133" s="105"/>
      <c r="H133" s="103"/>
      <c r="I133" s="103"/>
    </row>
    <row r="134" spans="1:9" x14ac:dyDescent="0.25">
      <c r="A134" s="108">
        <v>40544</v>
      </c>
      <c r="B134" s="109">
        <v>775.3</v>
      </c>
      <c r="C134" s="109">
        <v>0</v>
      </c>
      <c r="E134" s="102"/>
      <c r="F134" s="105"/>
      <c r="G134" s="105"/>
      <c r="H134" s="103"/>
      <c r="I134" s="103"/>
    </row>
    <row r="135" spans="1:9" x14ac:dyDescent="0.25">
      <c r="A135" s="108">
        <v>40575</v>
      </c>
      <c r="B135" s="109">
        <v>654.20000000000005</v>
      </c>
      <c r="C135" s="109">
        <v>0</v>
      </c>
      <c r="E135" s="102"/>
      <c r="F135" s="105"/>
      <c r="G135" s="105"/>
      <c r="H135" s="103"/>
      <c r="I135" s="103"/>
    </row>
    <row r="136" spans="1:9" x14ac:dyDescent="0.25">
      <c r="A136" s="108">
        <v>40603</v>
      </c>
      <c r="B136" s="109">
        <v>572.79999999999995</v>
      </c>
      <c r="C136" s="109">
        <v>0</v>
      </c>
      <c r="E136" s="102"/>
      <c r="F136" s="105"/>
      <c r="G136" s="105"/>
      <c r="H136" s="103"/>
      <c r="I136" s="103"/>
    </row>
    <row r="137" spans="1:9" x14ac:dyDescent="0.25">
      <c r="A137" s="108">
        <v>40634</v>
      </c>
      <c r="B137" s="109">
        <v>332.3</v>
      </c>
      <c r="C137" s="109">
        <v>0</v>
      </c>
      <c r="E137" s="102"/>
      <c r="F137" s="105"/>
      <c r="G137" s="105"/>
      <c r="H137" s="103"/>
      <c r="I137" s="103"/>
    </row>
    <row r="138" spans="1:9" x14ac:dyDescent="0.25">
      <c r="A138" s="108">
        <v>40664</v>
      </c>
      <c r="B138" s="109">
        <v>134.1</v>
      </c>
      <c r="C138" s="109">
        <v>13</v>
      </c>
      <c r="E138" s="102"/>
      <c r="F138" s="105"/>
      <c r="G138" s="105"/>
      <c r="H138" s="103"/>
      <c r="I138" s="103"/>
    </row>
    <row r="139" spans="1:9" x14ac:dyDescent="0.25">
      <c r="A139" s="108">
        <v>40695</v>
      </c>
      <c r="B139" s="109">
        <v>19</v>
      </c>
      <c r="C139" s="109">
        <v>52.2</v>
      </c>
      <c r="E139" s="102"/>
      <c r="F139" s="105"/>
      <c r="G139" s="105"/>
      <c r="H139" s="103"/>
      <c r="I139" s="103"/>
    </row>
    <row r="140" spans="1:9" x14ac:dyDescent="0.25">
      <c r="A140" s="108">
        <v>40725</v>
      </c>
      <c r="B140" s="109">
        <v>0</v>
      </c>
      <c r="C140" s="109">
        <v>198.5</v>
      </c>
      <c r="E140" s="102"/>
      <c r="F140" s="105"/>
      <c r="G140" s="105"/>
      <c r="H140" s="103"/>
      <c r="I140" s="103"/>
    </row>
    <row r="141" spans="1:9" x14ac:dyDescent="0.25">
      <c r="A141" s="108">
        <v>40756</v>
      </c>
      <c r="B141" s="109">
        <v>0</v>
      </c>
      <c r="C141" s="109">
        <v>122.2</v>
      </c>
      <c r="E141" s="102"/>
      <c r="F141" s="105"/>
      <c r="G141" s="105"/>
      <c r="H141" s="103"/>
      <c r="I141" s="103"/>
    </row>
    <row r="142" spans="1:9" x14ac:dyDescent="0.25">
      <c r="A142" s="108">
        <v>40787</v>
      </c>
      <c r="B142" s="109">
        <v>48.2</v>
      </c>
      <c r="C142" s="109">
        <v>39.700000000000003</v>
      </c>
      <c r="E142" s="102"/>
      <c r="F142" s="105"/>
      <c r="G142" s="105"/>
      <c r="H142" s="103"/>
      <c r="I142" s="103"/>
    </row>
    <row r="143" spans="1:9" x14ac:dyDescent="0.25">
      <c r="A143" s="108">
        <v>40817</v>
      </c>
      <c r="B143" s="109">
        <v>235.5</v>
      </c>
      <c r="C143" s="109">
        <v>2.4</v>
      </c>
      <c r="E143" s="102"/>
      <c r="F143" s="105"/>
      <c r="G143" s="105"/>
      <c r="H143" s="103"/>
      <c r="I143" s="103"/>
    </row>
    <row r="144" spans="1:9" x14ac:dyDescent="0.25">
      <c r="A144" s="108">
        <v>40848</v>
      </c>
      <c r="B144" s="109">
        <v>341.9</v>
      </c>
      <c r="C144" s="109">
        <v>0</v>
      </c>
      <c r="E144" s="102"/>
      <c r="F144" s="105"/>
      <c r="G144" s="105"/>
      <c r="H144" s="103"/>
      <c r="I144" s="103"/>
    </row>
    <row r="145" spans="1:9" x14ac:dyDescent="0.25">
      <c r="A145" s="108">
        <v>40878</v>
      </c>
      <c r="B145" s="109">
        <v>534</v>
      </c>
      <c r="C145" s="109">
        <v>0</v>
      </c>
      <c r="E145" s="102"/>
      <c r="F145" s="105"/>
      <c r="G145" s="105"/>
      <c r="H145" s="103"/>
      <c r="I145" s="103"/>
    </row>
    <row r="146" spans="1:9" x14ac:dyDescent="0.25">
      <c r="A146" s="108">
        <v>40909</v>
      </c>
      <c r="B146" s="109">
        <v>611.1</v>
      </c>
      <c r="C146" s="109">
        <v>0</v>
      </c>
      <c r="E146" s="102"/>
      <c r="F146" s="105"/>
      <c r="G146" s="105"/>
      <c r="H146" s="103"/>
      <c r="I146" s="103"/>
    </row>
    <row r="147" spans="1:9" x14ac:dyDescent="0.25">
      <c r="A147" s="108">
        <v>40940</v>
      </c>
      <c r="B147" s="109">
        <v>531.70000000000005</v>
      </c>
      <c r="C147" s="109">
        <v>0</v>
      </c>
      <c r="E147" s="102"/>
      <c r="F147" s="105"/>
      <c r="G147" s="105"/>
      <c r="H147" s="103"/>
      <c r="I147" s="103"/>
    </row>
    <row r="148" spans="1:9" x14ac:dyDescent="0.25">
      <c r="A148" s="108">
        <v>40969</v>
      </c>
      <c r="B148" s="109">
        <v>349.4</v>
      </c>
      <c r="C148" s="109">
        <v>0.2</v>
      </c>
      <c r="E148" s="102"/>
      <c r="F148" s="105"/>
      <c r="G148" s="105"/>
      <c r="H148" s="103"/>
      <c r="I148" s="103"/>
    </row>
    <row r="149" spans="1:9" x14ac:dyDescent="0.25">
      <c r="A149" s="108">
        <v>41000</v>
      </c>
      <c r="B149" s="109">
        <v>321.7</v>
      </c>
      <c r="C149" s="109">
        <v>0</v>
      </c>
      <c r="E149" s="102"/>
      <c r="F149" s="105"/>
      <c r="G149" s="105"/>
      <c r="H149" s="103"/>
      <c r="I149" s="103"/>
    </row>
    <row r="150" spans="1:9" x14ac:dyDescent="0.25">
      <c r="A150" s="108">
        <v>41030</v>
      </c>
      <c r="B150" s="109">
        <v>80.7</v>
      </c>
      <c r="C150" s="109">
        <v>36.700000000000003</v>
      </c>
      <c r="E150" s="102"/>
      <c r="F150" s="105"/>
      <c r="G150" s="105"/>
      <c r="H150" s="103"/>
      <c r="I150" s="103"/>
    </row>
    <row r="151" spans="1:9" x14ac:dyDescent="0.25">
      <c r="A151" s="108">
        <v>41061</v>
      </c>
      <c r="B151" s="109">
        <v>23.2</v>
      </c>
      <c r="C151" s="109">
        <v>101.6</v>
      </c>
      <c r="E151" s="102"/>
      <c r="F151" s="105"/>
      <c r="G151" s="105"/>
      <c r="H151" s="103"/>
      <c r="I151" s="103"/>
    </row>
    <row r="152" spans="1:9" x14ac:dyDescent="0.25">
      <c r="A152" s="108">
        <v>41091</v>
      </c>
      <c r="B152" s="109">
        <v>0</v>
      </c>
      <c r="C152" s="109">
        <v>195.4</v>
      </c>
      <c r="E152" s="102"/>
      <c r="F152" s="105"/>
      <c r="G152" s="105"/>
      <c r="H152" s="103"/>
      <c r="I152" s="103"/>
    </row>
    <row r="153" spans="1:9" x14ac:dyDescent="0.25">
      <c r="A153" s="108">
        <v>41122</v>
      </c>
      <c r="B153" s="109">
        <v>2</v>
      </c>
      <c r="C153" s="109">
        <v>112.1</v>
      </c>
      <c r="E153" s="102"/>
      <c r="F153" s="105"/>
      <c r="G153" s="105"/>
      <c r="H153" s="103"/>
      <c r="I153" s="103"/>
    </row>
    <row r="154" spans="1:9" x14ac:dyDescent="0.25">
      <c r="A154" s="108">
        <v>41153</v>
      </c>
      <c r="B154" s="109">
        <v>85</v>
      </c>
      <c r="C154" s="109">
        <v>35.6</v>
      </c>
      <c r="E154" s="102"/>
      <c r="F154" s="105"/>
      <c r="G154" s="105"/>
      <c r="H154" s="103"/>
      <c r="I154" s="103"/>
    </row>
    <row r="155" spans="1:9" x14ac:dyDescent="0.25">
      <c r="A155" s="108">
        <v>41183</v>
      </c>
      <c r="B155" s="109">
        <v>242.5</v>
      </c>
      <c r="C155" s="109">
        <v>1.1000000000000001</v>
      </c>
      <c r="E155" s="102"/>
      <c r="F155" s="105"/>
      <c r="G155" s="105"/>
      <c r="H155" s="103"/>
      <c r="I155" s="103"/>
    </row>
    <row r="156" spans="1:9" x14ac:dyDescent="0.25">
      <c r="A156" s="108">
        <v>41214</v>
      </c>
      <c r="B156" s="109">
        <v>434</v>
      </c>
      <c r="C156" s="109">
        <v>0</v>
      </c>
      <c r="E156" s="102"/>
      <c r="F156" s="105"/>
      <c r="G156" s="105"/>
      <c r="H156" s="103"/>
      <c r="I156" s="103"/>
    </row>
    <row r="157" spans="1:9" x14ac:dyDescent="0.25">
      <c r="A157" s="108">
        <v>41244</v>
      </c>
      <c r="B157" s="109">
        <v>533.5</v>
      </c>
      <c r="C157" s="109">
        <v>0</v>
      </c>
      <c r="E157" s="102"/>
      <c r="F157" s="105"/>
      <c r="G157" s="105"/>
      <c r="H157" s="103"/>
      <c r="I157" s="103"/>
    </row>
    <row r="158" spans="1:9" x14ac:dyDescent="0.25">
      <c r="A158" s="108">
        <v>41275</v>
      </c>
      <c r="B158" s="32">
        <v>624.4</v>
      </c>
      <c r="C158" s="32">
        <v>0</v>
      </c>
      <c r="E158" s="102"/>
      <c r="F158" s="105"/>
      <c r="G158" s="105"/>
      <c r="H158" s="103"/>
      <c r="I158" s="103"/>
    </row>
    <row r="159" spans="1:9" x14ac:dyDescent="0.25">
      <c r="A159" s="108">
        <v>41306</v>
      </c>
      <c r="B159" s="107">
        <v>631.5</v>
      </c>
      <c r="C159" s="32">
        <v>0</v>
      </c>
      <c r="E159" s="102"/>
      <c r="F159" s="105"/>
      <c r="G159" s="105"/>
      <c r="H159" s="103"/>
      <c r="I159" s="103"/>
    </row>
    <row r="160" spans="1:9" x14ac:dyDescent="0.25">
      <c r="A160" s="108">
        <v>41334</v>
      </c>
      <c r="B160" s="32">
        <v>554.79999999999995</v>
      </c>
      <c r="C160" s="32">
        <v>0</v>
      </c>
      <c r="E160" s="102"/>
      <c r="F160" s="105"/>
      <c r="G160" s="105"/>
      <c r="H160" s="103"/>
      <c r="I160" s="103"/>
    </row>
    <row r="161" spans="1:9" x14ac:dyDescent="0.25">
      <c r="A161" s="108">
        <v>41365</v>
      </c>
      <c r="B161" s="32">
        <v>358.6</v>
      </c>
      <c r="C161" s="32">
        <v>0</v>
      </c>
      <c r="E161" s="102"/>
      <c r="F161" s="105"/>
      <c r="G161" s="105"/>
      <c r="H161" s="103"/>
      <c r="I161" s="103"/>
    </row>
    <row r="162" spans="1:9" x14ac:dyDescent="0.25">
      <c r="A162" s="108">
        <v>41395</v>
      </c>
      <c r="B162" s="32">
        <v>109.1</v>
      </c>
      <c r="C162" s="32">
        <v>23.1</v>
      </c>
      <c r="E162" s="102"/>
      <c r="F162" s="105"/>
      <c r="G162" s="105"/>
      <c r="H162" s="103"/>
      <c r="I162" s="103"/>
    </row>
    <row r="163" spans="1:9" x14ac:dyDescent="0.25">
      <c r="A163" s="108">
        <v>41426</v>
      </c>
      <c r="B163" s="32">
        <v>33</v>
      </c>
      <c r="C163" s="32">
        <v>59.6</v>
      </c>
      <c r="E163" s="102"/>
      <c r="F163" s="105"/>
      <c r="G163" s="105"/>
      <c r="H163" s="103"/>
      <c r="I163" s="103"/>
    </row>
    <row r="164" spans="1:9" x14ac:dyDescent="0.25">
      <c r="A164" s="108">
        <v>41456</v>
      </c>
      <c r="B164" s="32">
        <v>1.3</v>
      </c>
      <c r="C164" s="32">
        <v>120.8</v>
      </c>
      <c r="E164" s="102"/>
      <c r="F164" s="105"/>
      <c r="G164" s="105"/>
      <c r="H164" s="106"/>
      <c r="I164" s="103"/>
    </row>
    <row r="165" spans="1:9" x14ac:dyDescent="0.25">
      <c r="A165" s="108">
        <v>41487</v>
      </c>
      <c r="B165" s="32">
        <v>4.4000000000000004</v>
      </c>
      <c r="C165" s="32">
        <v>93.8</v>
      </c>
      <c r="E165" s="102"/>
      <c r="F165" s="105"/>
      <c r="G165" s="105"/>
      <c r="H165" s="106"/>
      <c r="I165" s="103"/>
    </row>
    <row r="166" spans="1:9" x14ac:dyDescent="0.25">
      <c r="A166" s="108">
        <v>41518</v>
      </c>
      <c r="B166" s="32">
        <v>83</v>
      </c>
      <c r="C166" s="32">
        <v>28.1</v>
      </c>
      <c r="E166" s="102"/>
      <c r="F166" s="105"/>
      <c r="G166" s="105"/>
      <c r="H166" s="106"/>
      <c r="I166" s="103"/>
    </row>
    <row r="167" spans="1:9" x14ac:dyDescent="0.25">
      <c r="A167" s="108">
        <v>41548</v>
      </c>
      <c r="B167" s="32">
        <v>208.5</v>
      </c>
      <c r="C167" s="32">
        <v>0.4</v>
      </c>
      <c r="E167" s="102"/>
      <c r="F167" s="105"/>
      <c r="G167" s="105"/>
      <c r="H167" s="106"/>
      <c r="I167" s="103"/>
    </row>
    <row r="168" spans="1:9" x14ac:dyDescent="0.25">
      <c r="A168" s="108">
        <v>41579</v>
      </c>
      <c r="B168" s="32">
        <v>478.2</v>
      </c>
      <c r="C168" s="32">
        <v>0</v>
      </c>
      <c r="E168" s="102"/>
      <c r="F168" s="105"/>
      <c r="G168" s="105"/>
      <c r="H168" s="106"/>
      <c r="I168" s="103"/>
    </row>
    <row r="169" spans="1:9" x14ac:dyDescent="0.25">
      <c r="A169" s="108">
        <v>41609</v>
      </c>
      <c r="B169" s="32">
        <v>687.9</v>
      </c>
      <c r="C169" s="32">
        <v>0</v>
      </c>
      <c r="E169" s="102"/>
      <c r="F169" s="105"/>
      <c r="G169" s="105"/>
      <c r="H169" s="106"/>
      <c r="I169" s="103"/>
    </row>
    <row r="170" spans="1:9" x14ac:dyDescent="0.25">
      <c r="A170" s="108">
        <v>41640</v>
      </c>
      <c r="B170" s="32">
        <v>825.9</v>
      </c>
      <c r="C170" s="32">
        <v>0</v>
      </c>
      <c r="E170" s="102"/>
      <c r="F170" s="105"/>
      <c r="G170" s="105"/>
      <c r="H170" s="106"/>
      <c r="I170" s="103"/>
    </row>
    <row r="171" spans="1:9" x14ac:dyDescent="0.25">
      <c r="A171" s="108">
        <v>41671</v>
      </c>
      <c r="B171" s="32">
        <v>737.1</v>
      </c>
      <c r="C171" s="32">
        <v>0</v>
      </c>
      <c r="E171" s="102"/>
      <c r="F171" s="105"/>
      <c r="G171" s="105"/>
      <c r="H171" s="106"/>
      <c r="I171" s="103"/>
    </row>
    <row r="172" spans="1:9" x14ac:dyDescent="0.25">
      <c r="A172" s="108">
        <v>41699</v>
      </c>
      <c r="B172" s="32">
        <v>690.6</v>
      </c>
      <c r="C172" s="32">
        <v>0</v>
      </c>
      <c r="E172" s="102"/>
      <c r="F172" s="105"/>
      <c r="G172" s="105"/>
      <c r="H172" s="106"/>
      <c r="I172" s="103"/>
    </row>
    <row r="173" spans="1:9" x14ac:dyDescent="0.25">
      <c r="A173" s="108">
        <v>41730</v>
      </c>
      <c r="B173" s="32">
        <v>356.9</v>
      </c>
      <c r="C173" s="32">
        <v>0</v>
      </c>
      <c r="E173" s="102"/>
      <c r="F173" s="105"/>
      <c r="G173" s="105"/>
      <c r="H173" s="106"/>
      <c r="I173" s="103"/>
    </row>
    <row r="174" spans="1:9" x14ac:dyDescent="0.25">
      <c r="A174" s="108">
        <v>41760</v>
      </c>
      <c r="B174" s="32">
        <v>132.1</v>
      </c>
      <c r="C174" s="32">
        <v>11.9</v>
      </c>
      <c r="E174" s="102"/>
      <c r="F174" s="105"/>
      <c r="G174" s="105"/>
      <c r="H174" s="106"/>
      <c r="I174" s="103"/>
    </row>
    <row r="175" spans="1:9" x14ac:dyDescent="0.25">
      <c r="A175" s="108">
        <v>41791</v>
      </c>
      <c r="B175" s="32">
        <v>14.1</v>
      </c>
      <c r="C175" s="32">
        <v>68.099999999999994</v>
      </c>
      <c r="E175" s="102"/>
      <c r="F175" s="105"/>
      <c r="G175" s="105"/>
      <c r="H175" s="106"/>
      <c r="I175" s="103"/>
    </row>
    <row r="176" spans="1:9" x14ac:dyDescent="0.25">
      <c r="A176" s="108">
        <v>41821</v>
      </c>
      <c r="B176" s="32">
        <v>4</v>
      </c>
      <c r="C176" s="32">
        <v>71</v>
      </c>
      <c r="E176" s="102"/>
      <c r="F176" s="105"/>
      <c r="G176" s="105"/>
      <c r="H176" s="106"/>
      <c r="I176" s="103"/>
    </row>
    <row r="177" spans="1:9" x14ac:dyDescent="0.25">
      <c r="A177" s="108">
        <v>41852</v>
      </c>
      <c r="B177" s="32">
        <v>8.8000000000000007</v>
      </c>
      <c r="C177" s="32">
        <v>81.8</v>
      </c>
      <c r="E177" s="102"/>
      <c r="F177" s="105"/>
      <c r="G177" s="105"/>
      <c r="H177" s="106"/>
      <c r="I177" s="103"/>
    </row>
    <row r="178" spans="1:9" x14ac:dyDescent="0.25">
      <c r="A178" s="108">
        <v>41883</v>
      </c>
      <c r="B178" s="32">
        <v>69.7</v>
      </c>
      <c r="C178" s="32">
        <v>30.1</v>
      </c>
      <c r="E178" s="102"/>
      <c r="F178" s="105"/>
      <c r="G178" s="105"/>
      <c r="H178" s="106"/>
      <c r="I178" s="103"/>
    </row>
    <row r="179" spans="1:9" x14ac:dyDescent="0.25">
      <c r="A179" s="108">
        <v>41913</v>
      </c>
      <c r="B179" s="32">
        <v>224.3</v>
      </c>
      <c r="C179" s="32">
        <v>1.3</v>
      </c>
      <c r="E179" s="102"/>
      <c r="F179" s="105"/>
      <c r="G179" s="105"/>
      <c r="H179" s="106"/>
      <c r="I179" s="103"/>
    </row>
    <row r="180" spans="1:9" x14ac:dyDescent="0.25">
      <c r="A180" s="108">
        <v>41944</v>
      </c>
      <c r="B180" s="32">
        <v>482.1</v>
      </c>
      <c r="C180" s="32">
        <v>0</v>
      </c>
      <c r="E180" s="102"/>
      <c r="F180" s="105"/>
      <c r="G180" s="105"/>
      <c r="H180" s="106"/>
      <c r="I180" s="103"/>
    </row>
    <row r="181" spans="1:9" x14ac:dyDescent="0.25">
      <c r="A181" s="108">
        <v>41974</v>
      </c>
      <c r="B181" s="32">
        <v>557.29999999999995</v>
      </c>
      <c r="C181" s="32">
        <v>0</v>
      </c>
      <c r="E181" s="102"/>
      <c r="F181" s="105"/>
      <c r="G181" s="105"/>
      <c r="H181" s="106"/>
      <c r="I181" s="103"/>
    </row>
    <row r="182" spans="1:9" x14ac:dyDescent="0.25">
      <c r="A182" s="108">
        <v>42005</v>
      </c>
      <c r="B182" s="32">
        <f>'Purchased Power Model'!F63</f>
        <v>792.39999999999975</v>
      </c>
      <c r="C182" s="32">
        <f>'Purchased Power Model'!G63</f>
        <v>0</v>
      </c>
      <c r="E182" s="102"/>
      <c r="F182" s="105"/>
      <c r="G182" s="105"/>
      <c r="H182" s="106"/>
      <c r="I182" s="103"/>
    </row>
    <row r="183" spans="1:9" x14ac:dyDescent="0.25">
      <c r="A183" s="108">
        <v>42036</v>
      </c>
      <c r="B183" s="32">
        <f>'Purchased Power Model'!F64</f>
        <v>856.8</v>
      </c>
      <c r="C183" s="32">
        <f>'Purchased Power Model'!G64</f>
        <v>0</v>
      </c>
      <c r="E183" s="102"/>
      <c r="F183" s="105"/>
      <c r="G183" s="105"/>
      <c r="H183" s="106"/>
      <c r="I183" s="103"/>
    </row>
    <row r="184" spans="1:9" x14ac:dyDescent="0.25">
      <c r="A184" s="108">
        <v>42064</v>
      </c>
      <c r="B184" s="32">
        <f>'Purchased Power Model'!F65</f>
        <v>615.49999999999989</v>
      </c>
      <c r="C184" s="32">
        <f>'Purchased Power Model'!G65</f>
        <v>0</v>
      </c>
      <c r="E184" s="102"/>
      <c r="F184" s="105"/>
      <c r="G184" s="105"/>
      <c r="H184" s="106"/>
      <c r="I184" s="103"/>
    </row>
    <row r="185" spans="1:9" x14ac:dyDescent="0.25">
      <c r="A185" s="108">
        <v>42095</v>
      </c>
      <c r="B185" s="32">
        <f>'Purchased Power Model'!F66</f>
        <v>313.7</v>
      </c>
      <c r="C185" s="32">
        <f>'Purchased Power Model'!G66</f>
        <v>0</v>
      </c>
      <c r="E185" s="102"/>
      <c r="F185" s="105"/>
      <c r="G185" s="105"/>
      <c r="H185" s="103"/>
      <c r="I185" s="103"/>
    </row>
    <row r="186" spans="1:9" x14ac:dyDescent="0.25">
      <c r="A186" s="108">
        <v>42125</v>
      </c>
      <c r="B186" s="32">
        <f>'Purchased Power Model'!F67</f>
        <v>89.3</v>
      </c>
      <c r="C186" s="32">
        <f>'Purchased Power Model'!G67</f>
        <v>34.1</v>
      </c>
      <c r="E186" s="102"/>
      <c r="F186" s="105"/>
      <c r="G186" s="105"/>
      <c r="H186" s="103"/>
      <c r="I186" s="103"/>
    </row>
    <row r="187" spans="1:9" x14ac:dyDescent="0.25">
      <c r="A187" s="108">
        <v>42156</v>
      </c>
      <c r="B187" s="32">
        <f>'Purchased Power Model'!F68</f>
        <v>33.800000000000004</v>
      </c>
      <c r="C187" s="32">
        <f>'Purchased Power Model'!G68</f>
        <v>32.299999999999997</v>
      </c>
      <c r="E187" s="102"/>
      <c r="F187" s="105"/>
      <c r="G187" s="105"/>
      <c r="H187" s="103"/>
      <c r="I187" s="103"/>
    </row>
    <row r="188" spans="1:9" x14ac:dyDescent="0.25">
      <c r="A188" s="108">
        <v>42186</v>
      </c>
      <c r="B188" s="32">
        <f>'Purchased Power Model'!F69</f>
        <v>4</v>
      </c>
      <c r="C188" s="32">
        <f>'Purchased Power Model'!G69</f>
        <v>114.29999999999998</v>
      </c>
      <c r="E188" s="102"/>
      <c r="F188" s="105"/>
      <c r="G188" s="105"/>
      <c r="H188" s="103"/>
      <c r="I188" s="103"/>
    </row>
    <row r="189" spans="1:9" x14ac:dyDescent="0.25">
      <c r="A189" s="108">
        <v>42217</v>
      </c>
      <c r="B189" s="32">
        <f>'Purchased Power Model'!F70</f>
        <v>4.4000000000000004</v>
      </c>
      <c r="C189" s="32">
        <f>'Purchased Power Model'!G70</f>
        <v>88.6</v>
      </c>
      <c r="E189" s="102"/>
      <c r="F189" s="105"/>
      <c r="G189" s="105"/>
      <c r="H189" s="103"/>
      <c r="I189" s="103"/>
    </row>
    <row r="190" spans="1:9" x14ac:dyDescent="0.25">
      <c r="A190" s="108">
        <v>42248</v>
      </c>
      <c r="B190" s="32">
        <f>'Purchased Power Model'!F71</f>
        <v>31.099999999999994</v>
      </c>
      <c r="C190" s="32">
        <f>'Purchased Power Model'!G71</f>
        <v>81.900000000000006</v>
      </c>
      <c r="E190" s="102"/>
      <c r="F190" s="105"/>
      <c r="G190" s="105"/>
      <c r="H190" s="103"/>
      <c r="I190" s="103"/>
    </row>
    <row r="191" spans="1:9" x14ac:dyDescent="0.25">
      <c r="A191" s="108">
        <v>42278</v>
      </c>
      <c r="B191" s="32">
        <f>'Purchased Power Model'!F72</f>
        <v>249.8</v>
      </c>
      <c r="C191" s="32">
        <f>'Purchased Power Model'!G72</f>
        <v>0</v>
      </c>
      <c r="E191" s="102"/>
      <c r="F191" s="105"/>
      <c r="G191" s="105"/>
      <c r="H191" s="103"/>
      <c r="I191" s="103"/>
    </row>
    <row r="192" spans="1:9" x14ac:dyDescent="0.25">
      <c r="A192" s="108">
        <v>42309</v>
      </c>
      <c r="B192" s="32">
        <f>'Purchased Power Model'!F73</f>
        <v>345</v>
      </c>
      <c r="C192" s="32">
        <f>'Purchased Power Model'!G73</f>
        <v>0</v>
      </c>
      <c r="E192" s="102"/>
      <c r="F192" s="105"/>
      <c r="G192" s="105"/>
      <c r="H192" s="103"/>
      <c r="I192" s="103"/>
    </row>
    <row r="193" spans="1:9" x14ac:dyDescent="0.25">
      <c r="A193" s="108">
        <v>42339</v>
      </c>
      <c r="B193" s="32">
        <f>'Purchased Power Model'!F74</f>
        <v>429.70000000000005</v>
      </c>
      <c r="C193" s="32">
        <f>'Purchased Power Model'!G74</f>
        <v>0</v>
      </c>
      <c r="E193" s="102"/>
      <c r="F193" s="105"/>
      <c r="G193" s="105"/>
      <c r="H193" s="103"/>
      <c r="I193" s="103"/>
    </row>
    <row r="194" spans="1:9" x14ac:dyDescent="0.25">
      <c r="A194" s="108">
        <v>42370</v>
      </c>
      <c r="B194" s="32">
        <f>'Purchased Power Model'!F75</f>
        <v>670.4</v>
      </c>
      <c r="C194" s="32">
        <f>'Purchased Power Model'!G75</f>
        <v>0</v>
      </c>
      <c r="E194" s="102"/>
      <c r="F194" s="105"/>
      <c r="G194" s="105"/>
      <c r="H194" s="103"/>
      <c r="I194" s="103"/>
    </row>
    <row r="195" spans="1:9" x14ac:dyDescent="0.25">
      <c r="A195" s="108">
        <v>42401</v>
      </c>
      <c r="B195" s="32">
        <f>'Purchased Power Model'!F76</f>
        <v>588.4</v>
      </c>
      <c r="C195" s="32">
        <f>'Purchased Power Model'!G76</f>
        <v>0</v>
      </c>
      <c r="E195" s="102"/>
      <c r="F195" s="105"/>
      <c r="G195" s="105"/>
      <c r="H195" s="103"/>
      <c r="I195" s="103"/>
    </row>
    <row r="196" spans="1:9" x14ac:dyDescent="0.25">
      <c r="A196" s="108">
        <v>42430</v>
      </c>
      <c r="B196" s="32">
        <f>'Purchased Power Model'!F77</f>
        <v>476.0999999999998</v>
      </c>
      <c r="C196" s="32">
        <f>'Purchased Power Model'!G77</f>
        <v>0</v>
      </c>
      <c r="E196" s="102"/>
      <c r="F196" s="105"/>
      <c r="G196" s="105"/>
      <c r="H196" s="103"/>
      <c r="I196" s="103"/>
    </row>
    <row r="197" spans="1:9" x14ac:dyDescent="0.25">
      <c r="A197" s="108">
        <v>42461</v>
      </c>
      <c r="B197" s="32">
        <f>'Purchased Power Model'!F78</f>
        <v>394.8</v>
      </c>
      <c r="C197" s="32">
        <f>'Purchased Power Model'!G78</f>
        <v>0</v>
      </c>
      <c r="E197" s="102"/>
      <c r="F197" s="105"/>
      <c r="G197" s="105"/>
      <c r="H197" s="103"/>
      <c r="I197" s="103"/>
    </row>
    <row r="198" spans="1:9" x14ac:dyDescent="0.25">
      <c r="A198" s="108">
        <v>42491</v>
      </c>
      <c r="B198" s="32">
        <f>'Purchased Power Model'!F79</f>
        <v>142.50000000000003</v>
      </c>
      <c r="C198" s="32">
        <f>'Purchased Power Model'!G79</f>
        <v>36.9</v>
      </c>
      <c r="E198" s="102"/>
      <c r="F198" s="105"/>
      <c r="G198" s="105"/>
      <c r="H198" s="103"/>
      <c r="I198" s="103"/>
    </row>
    <row r="199" spans="1:9" x14ac:dyDescent="0.25">
      <c r="A199" s="108">
        <v>42522</v>
      </c>
      <c r="B199" s="32">
        <f>'Purchased Power Model'!F80</f>
        <v>24.200000000000003</v>
      </c>
      <c r="C199" s="32">
        <f>'Purchased Power Model'!G80</f>
        <v>83.7</v>
      </c>
      <c r="E199" s="102"/>
      <c r="F199" s="105"/>
      <c r="G199" s="105"/>
      <c r="H199" s="103"/>
      <c r="I199" s="103"/>
    </row>
    <row r="200" spans="1:9" x14ac:dyDescent="0.25">
      <c r="A200" s="108">
        <v>42552</v>
      </c>
      <c r="B200" s="32">
        <f>'Purchased Power Model'!F81</f>
        <v>0</v>
      </c>
      <c r="C200" s="32">
        <f>'Purchased Power Model'!G81</f>
        <v>176.89999999999998</v>
      </c>
      <c r="E200" s="102"/>
      <c r="F200" s="105"/>
      <c r="G200" s="105"/>
      <c r="H200" s="103"/>
      <c r="I200" s="103"/>
    </row>
    <row r="201" spans="1:9" x14ac:dyDescent="0.25">
      <c r="A201" s="108">
        <v>42583</v>
      </c>
      <c r="B201" s="32">
        <f>'Purchased Power Model'!F82</f>
        <v>0</v>
      </c>
      <c r="C201" s="32">
        <f>'Purchased Power Model'!G82</f>
        <v>195.4</v>
      </c>
      <c r="E201" s="102"/>
      <c r="F201" s="105"/>
      <c r="G201" s="105"/>
      <c r="H201" s="103"/>
      <c r="I201" s="103"/>
    </row>
    <row r="202" spans="1:9" x14ac:dyDescent="0.25">
      <c r="A202" s="108">
        <v>42614</v>
      </c>
      <c r="B202" s="32">
        <f>'Purchased Power Model'!F83</f>
        <v>25.900000000000006</v>
      </c>
      <c r="C202" s="32">
        <f>'Purchased Power Model'!G83</f>
        <v>69.400000000000006</v>
      </c>
      <c r="E202" s="102"/>
      <c r="F202" s="105"/>
      <c r="G202" s="105"/>
      <c r="H202" s="103"/>
      <c r="I202" s="103"/>
    </row>
    <row r="203" spans="1:9" x14ac:dyDescent="0.25">
      <c r="A203" s="108">
        <v>42644</v>
      </c>
      <c r="B203" s="32">
        <f>'Purchased Power Model'!F84</f>
        <v>194.20000000000002</v>
      </c>
      <c r="C203" s="32">
        <f>'Purchased Power Model'!G84</f>
        <v>4.0999999999999996</v>
      </c>
      <c r="E203" s="102"/>
      <c r="F203" s="105"/>
      <c r="G203" s="105"/>
      <c r="H203" s="103"/>
      <c r="I203" s="103"/>
    </row>
    <row r="204" spans="1:9" x14ac:dyDescent="0.25">
      <c r="A204" s="108">
        <v>42675</v>
      </c>
      <c r="B204" s="32">
        <f>'Purchased Power Model'!F85</f>
        <v>337.80000000000007</v>
      </c>
      <c r="C204" s="32">
        <f>'Purchased Power Model'!G85</f>
        <v>0</v>
      </c>
      <c r="E204" s="102"/>
      <c r="F204" s="105"/>
      <c r="G204" s="105"/>
      <c r="H204" s="103"/>
      <c r="I204" s="103"/>
    </row>
    <row r="205" spans="1:9" x14ac:dyDescent="0.25">
      <c r="A205" s="108">
        <v>42705</v>
      </c>
      <c r="B205" s="32">
        <f>'Purchased Power Model'!F86</f>
        <v>607.99999999999989</v>
      </c>
      <c r="C205" s="32">
        <f>'Purchased Power Model'!G86</f>
        <v>0</v>
      </c>
      <c r="E205" s="102"/>
      <c r="F205" s="105"/>
      <c r="G205" s="105"/>
      <c r="H205" s="103"/>
      <c r="I205" s="103"/>
    </row>
    <row r="206" spans="1:9" x14ac:dyDescent="0.25">
      <c r="A206" s="108">
        <v>42736</v>
      </c>
      <c r="B206" s="32">
        <f>'Purchased Power Model'!F87</f>
        <v>608.9</v>
      </c>
      <c r="C206" s="32">
        <f>'Purchased Power Model'!G87</f>
        <v>0</v>
      </c>
      <c r="E206" s="109"/>
      <c r="F206" s="105"/>
      <c r="G206" s="105"/>
      <c r="H206" s="103"/>
      <c r="I206" s="103"/>
    </row>
    <row r="207" spans="1:9" x14ac:dyDescent="0.25">
      <c r="A207" s="108">
        <v>42767</v>
      </c>
      <c r="B207" s="32">
        <f>'Purchased Power Model'!F88</f>
        <v>510.4</v>
      </c>
      <c r="C207" s="32">
        <f>'Purchased Power Model'!G88</f>
        <v>0</v>
      </c>
      <c r="E207" s="109"/>
      <c r="F207" s="105"/>
      <c r="G207" s="105"/>
      <c r="H207" s="103"/>
      <c r="I207" s="103"/>
    </row>
    <row r="208" spans="1:9" x14ac:dyDescent="0.25">
      <c r="A208" s="108">
        <v>42795</v>
      </c>
      <c r="B208" s="32">
        <f>'Purchased Power Model'!F89</f>
        <v>574</v>
      </c>
      <c r="C208" s="32">
        <f>'Purchased Power Model'!G89</f>
        <v>0</v>
      </c>
      <c r="E208" s="109"/>
      <c r="F208" s="105"/>
      <c r="G208" s="105"/>
      <c r="H208" s="104"/>
      <c r="I208" s="104"/>
    </row>
    <row r="209" spans="1:9" x14ac:dyDescent="0.25">
      <c r="A209" s="108">
        <v>42826</v>
      </c>
      <c r="B209" s="32">
        <f>'Purchased Power Model'!F90</f>
        <v>257.49999999999994</v>
      </c>
      <c r="C209" s="32">
        <f>'Purchased Power Model'!G90</f>
        <v>0</v>
      </c>
      <c r="E209" s="109"/>
      <c r="F209" s="105"/>
      <c r="G209" s="105"/>
      <c r="H209" s="104"/>
      <c r="I209" s="104"/>
    </row>
    <row r="210" spans="1:9" x14ac:dyDescent="0.25">
      <c r="A210" s="108">
        <v>42856</v>
      </c>
      <c r="B210" s="32">
        <f>'Purchased Power Model'!F91</f>
        <v>177</v>
      </c>
      <c r="C210" s="32">
        <f>'Purchased Power Model'!G91</f>
        <v>9</v>
      </c>
      <c r="E210" s="109"/>
      <c r="F210" s="105"/>
      <c r="G210" s="105"/>
      <c r="H210" s="104"/>
      <c r="I210" s="104"/>
    </row>
    <row r="211" spans="1:9" x14ac:dyDescent="0.25">
      <c r="A211" s="108">
        <v>42887</v>
      </c>
      <c r="B211" s="32">
        <f>'Purchased Power Model'!F92</f>
        <v>26.699999999999996</v>
      </c>
      <c r="C211" s="32">
        <f>'Purchased Power Model'!G92</f>
        <v>68.2</v>
      </c>
      <c r="E211" s="109"/>
      <c r="F211" s="105"/>
      <c r="G211" s="105"/>
      <c r="H211" s="104"/>
      <c r="I211" s="104"/>
    </row>
    <row r="212" spans="1:9" x14ac:dyDescent="0.25">
      <c r="A212" s="108">
        <v>42917</v>
      </c>
      <c r="B212" s="32">
        <f>'Purchased Power Model'!F93</f>
        <v>0</v>
      </c>
      <c r="C212" s="32">
        <f>'Purchased Power Model'!G93</f>
        <v>116.49999999999999</v>
      </c>
      <c r="E212" s="109"/>
      <c r="F212" s="105"/>
      <c r="G212" s="105"/>
      <c r="H212" s="104"/>
      <c r="I212" s="104"/>
    </row>
    <row r="213" spans="1:9" x14ac:dyDescent="0.25">
      <c r="A213" s="108">
        <v>42948</v>
      </c>
      <c r="B213" s="32">
        <f>'Purchased Power Model'!F94</f>
        <v>11.6</v>
      </c>
      <c r="C213" s="32">
        <f>'Purchased Power Model'!G94</f>
        <v>75.2</v>
      </c>
      <c r="E213" s="109"/>
      <c r="F213" s="105"/>
      <c r="G213" s="105"/>
      <c r="H213" s="104"/>
      <c r="I213" s="104"/>
    </row>
    <row r="214" spans="1:9" x14ac:dyDescent="0.25">
      <c r="A214" s="108">
        <v>42979</v>
      </c>
      <c r="B214" s="32">
        <f>'Purchased Power Model'!F95</f>
        <v>49.1</v>
      </c>
      <c r="C214" s="32">
        <f>'Purchased Power Model'!G95</f>
        <v>71.499999999999986</v>
      </c>
      <c r="E214" s="109"/>
      <c r="F214" s="105"/>
      <c r="G214" s="105"/>
      <c r="H214" s="104"/>
      <c r="I214" s="104"/>
    </row>
    <row r="215" spans="1:9" x14ac:dyDescent="0.25">
      <c r="A215" s="108">
        <v>43009</v>
      </c>
      <c r="B215" s="32">
        <f>'Purchased Power Model'!F96</f>
        <v>153.99999999999997</v>
      </c>
      <c r="C215" s="32">
        <f>'Purchased Power Model'!G96</f>
        <v>8.1</v>
      </c>
      <c r="E215" s="109"/>
      <c r="F215" s="105"/>
      <c r="G215" s="105"/>
    </row>
    <row r="216" spans="1:9" x14ac:dyDescent="0.25">
      <c r="A216" s="108">
        <v>43040</v>
      </c>
      <c r="B216" s="32">
        <f>'Purchased Power Model'!F97</f>
        <v>414.2</v>
      </c>
      <c r="C216" s="32">
        <f>'Purchased Power Model'!G97</f>
        <v>0</v>
      </c>
      <c r="E216" s="109"/>
      <c r="F216" s="105"/>
      <c r="G216" s="105"/>
    </row>
    <row r="217" spans="1:9" x14ac:dyDescent="0.25">
      <c r="A217" s="108">
        <v>43070</v>
      </c>
      <c r="B217" s="32">
        <f>'Purchased Power Model'!F98</f>
        <v>718.49999999999989</v>
      </c>
      <c r="C217" s="32">
        <f>'Purchased Power Model'!G98</f>
        <v>0</v>
      </c>
      <c r="E217" s="109"/>
      <c r="F217" s="105"/>
      <c r="G217" s="105"/>
    </row>
    <row r="218" spans="1:9" x14ac:dyDescent="0.25">
      <c r="A218" s="108">
        <v>43101</v>
      </c>
      <c r="B218" s="32">
        <f>'Purchased Power Model'!F99</f>
        <v>732.29999999999984</v>
      </c>
      <c r="C218" s="32">
        <f>'Purchased Power Model'!G99</f>
        <v>0</v>
      </c>
      <c r="E218" s="109"/>
      <c r="F218" s="105"/>
      <c r="G218" s="105"/>
    </row>
    <row r="219" spans="1:9" x14ac:dyDescent="0.25">
      <c r="A219" s="108">
        <v>43132</v>
      </c>
      <c r="B219" s="32">
        <f>'Purchased Power Model'!F100</f>
        <v>555.00000000000023</v>
      </c>
      <c r="C219" s="32">
        <f>'Purchased Power Model'!G100</f>
        <v>0</v>
      </c>
      <c r="E219" s="109"/>
      <c r="F219" s="105"/>
      <c r="G219" s="105"/>
    </row>
    <row r="220" spans="1:9" x14ac:dyDescent="0.25">
      <c r="A220" s="108">
        <v>43160</v>
      </c>
      <c r="B220" s="32">
        <f>'Purchased Power Model'!F101</f>
        <v>553.99999999999989</v>
      </c>
      <c r="C220" s="32">
        <f>'Purchased Power Model'!G101</f>
        <v>0</v>
      </c>
      <c r="E220" s="109"/>
      <c r="F220" s="105"/>
      <c r="G220" s="105"/>
      <c r="H220" s="104"/>
      <c r="I220" s="104"/>
    </row>
    <row r="221" spans="1:9" x14ac:dyDescent="0.25">
      <c r="A221" s="108">
        <v>43191</v>
      </c>
      <c r="B221" s="32">
        <f>'Purchased Power Model'!F102</f>
        <v>437.20000000000005</v>
      </c>
      <c r="C221" s="32">
        <f>'Purchased Power Model'!G102</f>
        <v>0</v>
      </c>
      <c r="E221" s="109"/>
      <c r="F221" s="105"/>
      <c r="G221" s="105"/>
      <c r="H221" s="104"/>
      <c r="I221" s="104"/>
    </row>
    <row r="222" spans="1:9" x14ac:dyDescent="0.25">
      <c r="A222" s="108">
        <v>43221</v>
      </c>
      <c r="B222" s="32">
        <f>'Purchased Power Model'!F103</f>
        <v>75.3</v>
      </c>
      <c r="C222" s="32">
        <f>'Purchased Power Model'!G103</f>
        <v>43.4</v>
      </c>
      <c r="E222" s="109"/>
      <c r="F222" s="105"/>
      <c r="G222" s="105"/>
      <c r="H222" s="104"/>
      <c r="I222" s="104"/>
    </row>
    <row r="223" spans="1:9" x14ac:dyDescent="0.25">
      <c r="A223" s="108">
        <v>43252</v>
      </c>
      <c r="B223" s="32">
        <f>'Purchased Power Model'!F104</f>
        <v>14.799999999999999</v>
      </c>
      <c r="C223" s="32">
        <f>'Purchased Power Model'!G104</f>
        <v>60.5</v>
      </c>
      <c r="E223" s="109"/>
      <c r="F223" s="105"/>
      <c r="G223" s="105"/>
      <c r="H223" s="104"/>
      <c r="I223" s="104"/>
    </row>
    <row r="224" spans="1:9" x14ac:dyDescent="0.25">
      <c r="A224" s="108">
        <v>43282</v>
      </c>
      <c r="B224" s="32">
        <f>'Purchased Power Model'!F105</f>
        <v>0</v>
      </c>
      <c r="C224" s="32">
        <f>'Purchased Power Model'!G105</f>
        <v>167.8</v>
      </c>
      <c r="E224" s="109"/>
      <c r="F224" s="105"/>
      <c r="G224" s="105"/>
      <c r="H224" s="104"/>
      <c r="I224" s="104"/>
    </row>
    <row r="225" spans="1:9" x14ac:dyDescent="0.25">
      <c r="A225" s="108">
        <v>43313</v>
      </c>
      <c r="B225" s="32">
        <f>'Purchased Power Model'!F106</f>
        <v>1.2</v>
      </c>
      <c r="C225" s="32">
        <f>'Purchased Power Model'!G106</f>
        <v>162.4</v>
      </c>
      <c r="E225" s="109"/>
      <c r="F225" s="105"/>
      <c r="G225" s="105"/>
      <c r="H225" s="104"/>
      <c r="I225" s="104"/>
    </row>
    <row r="226" spans="1:9" x14ac:dyDescent="0.25">
      <c r="A226" s="108">
        <v>43344</v>
      </c>
      <c r="B226" s="32">
        <f>'Purchased Power Model'!F107</f>
        <v>41.399999999999991</v>
      </c>
      <c r="C226" s="32">
        <f>'Purchased Power Model'!G107</f>
        <v>76.399999999999977</v>
      </c>
      <c r="E226" s="109"/>
      <c r="F226" s="105"/>
      <c r="G226" s="105"/>
    </row>
    <row r="227" spans="1:9" x14ac:dyDescent="0.25">
      <c r="A227" s="108">
        <v>43374</v>
      </c>
      <c r="B227" s="32">
        <f>'Purchased Power Model'!F108</f>
        <v>289.40000000000003</v>
      </c>
      <c r="C227" s="32">
        <f>'Purchased Power Model'!G108</f>
        <v>8.1999999999999993</v>
      </c>
      <c r="E227" s="109"/>
      <c r="F227" s="105"/>
      <c r="G227" s="105"/>
    </row>
    <row r="228" spans="1:9" x14ac:dyDescent="0.25">
      <c r="A228" s="108">
        <v>43405</v>
      </c>
      <c r="B228" s="32">
        <f>'Purchased Power Model'!F109</f>
        <v>494.1</v>
      </c>
      <c r="C228" s="32">
        <f>'Purchased Power Model'!G109</f>
        <v>0</v>
      </c>
      <c r="E228" s="109"/>
      <c r="F228" s="105"/>
      <c r="G228" s="105"/>
    </row>
    <row r="229" spans="1:9" x14ac:dyDescent="0.25">
      <c r="A229" s="108">
        <v>43435</v>
      </c>
      <c r="B229" s="32">
        <f>'Purchased Power Model'!F110</f>
        <v>563.60000000000014</v>
      </c>
      <c r="C229" s="32">
        <f>'Purchased Power Model'!G110</f>
        <v>0</v>
      </c>
      <c r="E229" s="109"/>
      <c r="F229" s="105"/>
      <c r="G229" s="105"/>
    </row>
    <row r="230" spans="1:9" x14ac:dyDescent="0.25">
      <c r="A230" s="108">
        <v>43466</v>
      </c>
      <c r="B230" s="32">
        <f>'Purchased Power Model'!F111</f>
        <v>764.5</v>
      </c>
      <c r="C230" s="32">
        <f>'Purchased Power Model'!G111</f>
        <v>0</v>
      </c>
      <c r="E230" s="109"/>
      <c r="F230" s="105"/>
      <c r="G230" s="105"/>
    </row>
    <row r="231" spans="1:9" x14ac:dyDescent="0.25">
      <c r="A231" s="108">
        <v>43497</v>
      </c>
      <c r="B231" s="32">
        <f>'Purchased Power Model'!F112</f>
        <v>621.70000000000016</v>
      </c>
      <c r="C231" s="32">
        <f>'Purchased Power Model'!G112</f>
        <v>0</v>
      </c>
      <c r="E231" s="109"/>
      <c r="F231" s="105"/>
      <c r="G231" s="32"/>
    </row>
    <row r="232" spans="1:9" x14ac:dyDescent="0.25">
      <c r="A232" s="108">
        <v>43525</v>
      </c>
      <c r="B232" s="32">
        <f>'Purchased Power Model'!F113</f>
        <v>593.90000000000009</v>
      </c>
      <c r="C232" s="32">
        <f>'Purchased Power Model'!G113</f>
        <v>0</v>
      </c>
      <c r="E232" s="109"/>
      <c r="F232" s="105"/>
    </row>
    <row r="233" spans="1:9" x14ac:dyDescent="0.25">
      <c r="A233" s="108">
        <v>43556</v>
      </c>
      <c r="B233" s="32">
        <f>'Purchased Power Model'!F114</f>
        <v>346.8</v>
      </c>
      <c r="C233" s="32">
        <f>'Purchased Power Model'!G114</f>
        <v>0</v>
      </c>
      <c r="E233" s="109"/>
      <c r="F233" s="105"/>
    </row>
    <row r="234" spans="1:9" x14ac:dyDescent="0.25">
      <c r="A234" s="108">
        <v>43586</v>
      </c>
      <c r="B234" s="32">
        <f>'Purchased Power Model'!F115</f>
        <v>180.99999999999997</v>
      </c>
      <c r="C234" s="32">
        <f>'Purchased Power Model'!G115</f>
        <v>0</v>
      </c>
      <c r="E234" s="109"/>
      <c r="F234" s="105"/>
    </row>
    <row r="235" spans="1:9" x14ac:dyDescent="0.25">
      <c r="A235" s="108">
        <v>43617</v>
      </c>
      <c r="B235" s="32">
        <f>'Purchased Power Model'!F116</f>
        <v>35.5</v>
      </c>
      <c r="C235" s="32">
        <f>'Purchased Power Model'!G116</f>
        <v>41.300000000000004</v>
      </c>
      <c r="E235" s="109"/>
      <c r="F235" s="105"/>
    </row>
    <row r="236" spans="1:9" x14ac:dyDescent="0.25">
      <c r="A236" s="108">
        <v>43647</v>
      </c>
      <c r="B236" s="32">
        <f>'Purchased Power Model'!F117</f>
        <v>0</v>
      </c>
      <c r="C236" s="32">
        <f>'Purchased Power Model'!G117</f>
        <v>166.90000000000003</v>
      </c>
      <c r="E236" s="109"/>
      <c r="F236" s="105"/>
    </row>
    <row r="237" spans="1:9" x14ac:dyDescent="0.25">
      <c r="A237" s="108">
        <v>43678</v>
      </c>
      <c r="B237" s="32">
        <f>'Purchased Power Model'!F118</f>
        <v>0.89999999999999991</v>
      </c>
      <c r="C237" s="32">
        <f>'Purchased Power Model'!G118</f>
        <v>103.30000000000003</v>
      </c>
      <c r="E237" s="109"/>
      <c r="F237" s="105"/>
    </row>
    <row r="238" spans="1:9" x14ac:dyDescent="0.25">
      <c r="A238" s="108">
        <v>43709</v>
      </c>
      <c r="B238" s="32">
        <f>'Purchased Power Model'!F119</f>
        <v>38.400000000000006</v>
      </c>
      <c r="C238" s="32">
        <f>'Purchased Power Model'!G119</f>
        <v>25.400000000000002</v>
      </c>
      <c r="E238" s="109"/>
      <c r="F238" s="105"/>
    </row>
    <row r="239" spans="1:9" x14ac:dyDescent="0.25">
      <c r="A239" s="108">
        <v>43739</v>
      </c>
      <c r="B239" s="32">
        <f>'Purchased Power Model'!F120</f>
        <v>236.5</v>
      </c>
      <c r="C239" s="32">
        <f>'Purchased Power Model'!G120</f>
        <v>5.0999999999999996</v>
      </c>
      <c r="E239" s="109"/>
      <c r="F239" s="105"/>
    </row>
    <row r="240" spans="1:9" x14ac:dyDescent="0.25">
      <c r="A240" s="108">
        <v>43770</v>
      </c>
      <c r="B240" s="32">
        <f>'Purchased Power Model'!F121</f>
        <v>513.30000000000007</v>
      </c>
      <c r="C240" s="32">
        <f>'Purchased Power Model'!G121</f>
        <v>0</v>
      </c>
      <c r="E240" s="109"/>
      <c r="F240" s="105"/>
    </row>
    <row r="241" spans="1:6" x14ac:dyDescent="0.25">
      <c r="A241" s="108">
        <v>43800</v>
      </c>
      <c r="B241" s="32">
        <f>'Purchased Power Model'!F122</f>
        <v>582.4</v>
      </c>
      <c r="C241" s="32">
        <f>'Purchased Power Model'!G122</f>
        <v>0</v>
      </c>
      <c r="E241" s="109"/>
      <c r="F241" s="105"/>
    </row>
    <row r="242" spans="1:6" x14ac:dyDescent="0.25">
      <c r="E242" s="109"/>
      <c r="F242" s="105"/>
    </row>
    <row r="243" spans="1:6" x14ac:dyDescent="0.25">
      <c r="A243" s="256" t="s">
        <v>112</v>
      </c>
      <c r="B243" s="256"/>
      <c r="C243" s="256"/>
      <c r="E243" s="109"/>
      <c r="F243" s="105"/>
    </row>
    <row r="244" spans="1:6" x14ac:dyDescent="0.25">
      <c r="A244" s="3">
        <v>44197</v>
      </c>
      <c r="B244" s="101">
        <f>(B122+B134+B146+B158+B170+B182+B194+B206+B218+B230)/10</f>
        <v>712.52</v>
      </c>
      <c r="C244" s="101">
        <f>(C122+C134+C146+C158+C170+C182+C194+C206+C218+C230)/10</f>
        <v>0</v>
      </c>
      <c r="E244" s="109"/>
      <c r="F244" s="105"/>
    </row>
    <row r="245" spans="1:6" x14ac:dyDescent="0.25">
      <c r="A245" s="3">
        <v>44228</v>
      </c>
      <c r="B245" s="101">
        <f t="shared" ref="B245:C255" si="2">(B123+B135+B147+B159+B171+B183+B195+B207+B219+B231)/10</f>
        <v>628.50999999999988</v>
      </c>
      <c r="C245" s="101">
        <f t="shared" si="2"/>
        <v>0</v>
      </c>
      <c r="E245" s="109"/>
      <c r="F245" s="105"/>
    </row>
    <row r="246" spans="1:6" x14ac:dyDescent="0.25">
      <c r="A246" s="3">
        <v>44256</v>
      </c>
      <c r="B246" s="101">
        <f t="shared" si="2"/>
        <v>540.39</v>
      </c>
      <c r="C246" s="101">
        <f t="shared" si="2"/>
        <v>0.02</v>
      </c>
      <c r="E246" s="109"/>
      <c r="F246" s="105"/>
    </row>
    <row r="247" spans="1:6" x14ac:dyDescent="0.25">
      <c r="A247" s="3">
        <v>44287</v>
      </c>
      <c r="B247" s="101">
        <f t="shared" si="2"/>
        <v>334.46000000000004</v>
      </c>
      <c r="C247" s="101">
        <f t="shared" si="2"/>
        <v>0</v>
      </c>
      <c r="E247" s="109"/>
      <c r="F247" s="105"/>
    </row>
    <row r="248" spans="1:6" x14ac:dyDescent="0.25">
      <c r="A248" s="3">
        <v>44317</v>
      </c>
      <c r="B248" s="101">
        <f t="shared" si="2"/>
        <v>122.9</v>
      </c>
      <c r="C248" s="101">
        <f t="shared" si="2"/>
        <v>25.380000000000003</v>
      </c>
      <c r="E248" s="109"/>
      <c r="F248" s="105"/>
    </row>
    <row r="249" spans="1:6" x14ac:dyDescent="0.25">
      <c r="A249" s="3">
        <v>44348</v>
      </c>
      <c r="B249" s="101">
        <f t="shared" si="2"/>
        <v>24.6</v>
      </c>
      <c r="C249" s="101">
        <f t="shared" si="2"/>
        <v>62.620000000000005</v>
      </c>
      <c r="E249" s="109"/>
      <c r="F249" s="105"/>
    </row>
    <row r="250" spans="1:6" x14ac:dyDescent="0.25">
      <c r="A250" s="3">
        <v>44378</v>
      </c>
      <c r="B250" s="101">
        <f t="shared" si="2"/>
        <v>1.1099999999999999</v>
      </c>
      <c r="C250" s="101">
        <f t="shared" si="2"/>
        <v>149.29999999999998</v>
      </c>
      <c r="E250" s="109"/>
      <c r="F250" s="105"/>
    </row>
    <row r="251" spans="1:6" x14ac:dyDescent="0.25">
      <c r="A251" s="3">
        <v>44409</v>
      </c>
      <c r="B251" s="101">
        <f t="shared" si="2"/>
        <v>3.5400000000000005</v>
      </c>
      <c r="C251" s="101">
        <f t="shared" si="2"/>
        <v>117.36000000000001</v>
      </c>
      <c r="E251" s="109"/>
      <c r="F251" s="105"/>
    </row>
    <row r="252" spans="1:6" x14ac:dyDescent="0.25">
      <c r="A252" s="3">
        <v>44440</v>
      </c>
      <c r="B252" s="101">
        <f t="shared" si="2"/>
        <v>54.989999999999995</v>
      </c>
      <c r="C252" s="101">
        <f t="shared" si="2"/>
        <v>48.959999999999994</v>
      </c>
      <c r="E252" s="109"/>
      <c r="F252" s="105"/>
    </row>
    <row r="253" spans="1:6" x14ac:dyDescent="0.25">
      <c r="A253" s="3">
        <v>44470</v>
      </c>
      <c r="B253" s="101">
        <f t="shared" si="2"/>
        <v>227.63000000000002</v>
      </c>
      <c r="C253" s="101">
        <f t="shared" si="2"/>
        <v>3.0699999999999994</v>
      </c>
      <c r="E253" s="109"/>
      <c r="F253" s="105"/>
    </row>
    <row r="254" spans="1:6" x14ac:dyDescent="0.25">
      <c r="A254" s="3">
        <v>44501</v>
      </c>
      <c r="B254" s="101">
        <f t="shared" si="2"/>
        <v>424.59</v>
      </c>
      <c r="C254" s="101">
        <f t="shared" si="2"/>
        <v>0</v>
      </c>
      <c r="E254" s="109"/>
      <c r="F254" s="105"/>
    </row>
    <row r="255" spans="1:6" x14ac:dyDescent="0.25">
      <c r="A255" s="3">
        <v>44531</v>
      </c>
      <c r="B255" s="101">
        <f t="shared" si="2"/>
        <v>589.1099999999999</v>
      </c>
      <c r="C255" s="101">
        <f t="shared" si="2"/>
        <v>0</v>
      </c>
      <c r="E255" s="109"/>
      <c r="F255" s="105"/>
    </row>
    <row r="256" spans="1:6" x14ac:dyDescent="0.25">
      <c r="A256" s="3"/>
      <c r="E256" s="109"/>
      <c r="F256" s="105"/>
    </row>
    <row r="257" spans="1:6" x14ac:dyDescent="0.25">
      <c r="A257" s="3"/>
      <c r="E257" s="109"/>
      <c r="F257" s="105"/>
    </row>
    <row r="258" spans="1:6" x14ac:dyDescent="0.25">
      <c r="A258" s="3"/>
      <c r="E258" s="109"/>
      <c r="F258" s="105"/>
    </row>
    <row r="259" spans="1:6" x14ac:dyDescent="0.25">
      <c r="A259" s="3"/>
      <c r="E259" s="109"/>
      <c r="F259" s="105"/>
    </row>
    <row r="260" spans="1:6" x14ac:dyDescent="0.25">
      <c r="A260" s="3"/>
      <c r="E260" s="109"/>
      <c r="F260" s="105"/>
    </row>
    <row r="261" spans="1:6" x14ac:dyDescent="0.25">
      <c r="A261" s="3"/>
      <c r="E261" s="109"/>
      <c r="F261" s="105"/>
    </row>
    <row r="262" spans="1:6" x14ac:dyDescent="0.25">
      <c r="A262" s="3"/>
      <c r="E262" s="109"/>
      <c r="F262" s="105"/>
    </row>
    <row r="263" spans="1:6" x14ac:dyDescent="0.25">
      <c r="A263" s="3"/>
      <c r="E263" s="109"/>
      <c r="F263" s="105"/>
    </row>
    <row r="264" spans="1:6" x14ac:dyDescent="0.25">
      <c r="A264" s="3"/>
      <c r="E264" s="109"/>
      <c r="F264" s="105"/>
    </row>
    <row r="265" spans="1:6" x14ac:dyDescent="0.25">
      <c r="A265" s="3"/>
      <c r="E265" s="109"/>
      <c r="F265" s="105"/>
    </row>
    <row r="266" spans="1:6" x14ac:dyDescent="0.25">
      <c r="A266" s="3"/>
      <c r="E266" s="109"/>
      <c r="F266" s="105"/>
    </row>
    <row r="267" spans="1:6" x14ac:dyDescent="0.25">
      <c r="A267" s="3"/>
      <c r="E267" s="109"/>
      <c r="F267" s="105"/>
    </row>
    <row r="268" spans="1:6" x14ac:dyDescent="0.25">
      <c r="A268" s="3"/>
      <c r="E268" s="109"/>
      <c r="F268" s="105"/>
    </row>
    <row r="269" spans="1:6" x14ac:dyDescent="0.25">
      <c r="A269" s="3"/>
      <c r="E269" s="109"/>
      <c r="F269" s="105"/>
    </row>
    <row r="270" spans="1:6" x14ac:dyDescent="0.25">
      <c r="A270" s="3"/>
      <c r="E270" s="109"/>
      <c r="F270" s="105"/>
    </row>
    <row r="271" spans="1:6" x14ac:dyDescent="0.25">
      <c r="E271" s="109"/>
      <c r="F271" s="105"/>
    </row>
    <row r="272" spans="1:6" x14ac:dyDescent="0.25">
      <c r="E272" s="109"/>
      <c r="F272" s="105"/>
    </row>
    <row r="273" spans="5:6" x14ac:dyDescent="0.25">
      <c r="E273" s="109"/>
      <c r="F273" s="105"/>
    </row>
    <row r="274" spans="5:6" x14ac:dyDescent="0.25">
      <c r="E274" s="109"/>
      <c r="F274" s="105"/>
    </row>
    <row r="275" spans="5:6" x14ac:dyDescent="0.25">
      <c r="E275" s="109"/>
      <c r="F275" s="105"/>
    </row>
    <row r="276" spans="5:6" x14ac:dyDescent="0.25">
      <c r="E276" s="109"/>
      <c r="F276" s="105"/>
    </row>
    <row r="277" spans="5:6" x14ac:dyDescent="0.25">
      <c r="E277" s="109"/>
      <c r="F277" s="105"/>
    </row>
    <row r="278" spans="5:6" x14ac:dyDescent="0.25">
      <c r="E278" s="109"/>
      <c r="F278" s="105"/>
    </row>
    <row r="279" spans="5:6" x14ac:dyDescent="0.25">
      <c r="E279" s="109"/>
      <c r="F279" s="105"/>
    </row>
    <row r="280" spans="5:6" x14ac:dyDescent="0.25">
      <c r="E280" s="109"/>
      <c r="F280" s="105"/>
    </row>
    <row r="281" spans="5:6" x14ac:dyDescent="0.25">
      <c r="E281" s="109"/>
      <c r="F281" s="105"/>
    </row>
    <row r="282" spans="5:6" x14ac:dyDescent="0.25">
      <c r="E282" s="109"/>
      <c r="F282" s="105"/>
    </row>
    <row r="283" spans="5:6" x14ac:dyDescent="0.25">
      <c r="E283" s="109"/>
      <c r="F283" s="105"/>
    </row>
    <row r="284" spans="5:6" x14ac:dyDescent="0.25">
      <c r="E284" s="109"/>
      <c r="F284" s="105"/>
    </row>
    <row r="285" spans="5:6" x14ac:dyDescent="0.25">
      <c r="E285" s="109"/>
      <c r="F285" s="105"/>
    </row>
    <row r="286" spans="5:6" x14ac:dyDescent="0.25">
      <c r="E286" s="109"/>
      <c r="F286" s="105"/>
    </row>
    <row r="287" spans="5:6" x14ac:dyDescent="0.25">
      <c r="E287" s="109"/>
      <c r="F287" s="105"/>
    </row>
    <row r="288" spans="5:6" x14ac:dyDescent="0.25">
      <c r="E288" s="109"/>
      <c r="F288" s="105"/>
    </row>
    <row r="289" spans="5:6" x14ac:dyDescent="0.25">
      <c r="E289" s="109"/>
      <c r="F289" s="105"/>
    </row>
    <row r="290" spans="5:6" x14ac:dyDescent="0.25">
      <c r="E290" s="109"/>
      <c r="F290" s="105"/>
    </row>
    <row r="291" spans="5:6" x14ac:dyDescent="0.25">
      <c r="E291" s="109"/>
      <c r="F291" s="105"/>
    </row>
    <row r="292" spans="5:6" x14ac:dyDescent="0.25">
      <c r="E292" s="109"/>
      <c r="F292" s="105"/>
    </row>
    <row r="293" spans="5:6" x14ac:dyDescent="0.25">
      <c r="E293" s="109"/>
      <c r="F293" s="105"/>
    </row>
    <row r="294" spans="5:6" x14ac:dyDescent="0.25">
      <c r="E294" s="109"/>
      <c r="F294" s="105"/>
    </row>
    <row r="295" spans="5:6" x14ac:dyDescent="0.25">
      <c r="E295" s="109"/>
      <c r="F295" s="105"/>
    </row>
    <row r="296" spans="5:6" x14ac:dyDescent="0.25">
      <c r="E296" s="109"/>
      <c r="F296" s="105"/>
    </row>
    <row r="297" spans="5:6" x14ac:dyDescent="0.25">
      <c r="E297" s="109"/>
      <c r="F297" s="105"/>
    </row>
    <row r="298" spans="5:6" x14ac:dyDescent="0.25">
      <c r="E298" s="109"/>
      <c r="F298" s="105"/>
    </row>
    <row r="299" spans="5:6" x14ac:dyDescent="0.25">
      <c r="E299" s="109"/>
      <c r="F299" s="105"/>
    </row>
    <row r="300" spans="5:6" x14ac:dyDescent="0.25">
      <c r="E300" s="109"/>
      <c r="F300" s="105"/>
    </row>
    <row r="301" spans="5:6" x14ac:dyDescent="0.25">
      <c r="E301" s="109"/>
      <c r="F301" s="105"/>
    </row>
    <row r="302" spans="5:6" x14ac:dyDescent="0.25">
      <c r="E302" s="109"/>
      <c r="F302" s="105"/>
    </row>
    <row r="303" spans="5:6" x14ac:dyDescent="0.25">
      <c r="E303" s="109"/>
      <c r="F303" s="105"/>
    </row>
    <row r="304" spans="5:6" x14ac:dyDescent="0.25">
      <c r="E304" s="109"/>
      <c r="F304" s="105"/>
    </row>
    <row r="305" spans="5:10" x14ac:dyDescent="0.25">
      <c r="E305" s="109"/>
      <c r="F305" s="105"/>
    </row>
    <row r="306" spans="5:10" x14ac:dyDescent="0.25">
      <c r="E306" s="109"/>
      <c r="F306" s="105"/>
    </row>
    <row r="307" spans="5:10" x14ac:dyDescent="0.25">
      <c r="E307" s="109"/>
      <c r="F307" s="105"/>
    </row>
    <row r="308" spans="5:10" x14ac:dyDescent="0.25">
      <c r="E308" s="109"/>
      <c r="F308" s="105"/>
    </row>
    <row r="309" spans="5:10" x14ac:dyDescent="0.25">
      <c r="E309" s="109"/>
      <c r="F309" s="105"/>
    </row>
    <row r="310" spans="5:10" x14ac:dyDescent="0.25">
      <c r="E310" s="109"/>
      <c r="F310" s="105"/>
    </row>
    <row r="311" spans="5:10" x14ac:dyDescent="0.25">
      <c r="E311" s="109"/>
      <c r="F311" s="105"/>
    </row>
    <row r="312" spans="5:10" x14ac:dyDescent="0.25">
      <c r="E312" s="109"/>
      <c r="F312" s="105"/>
    </row>
    <row r="313" spans="5:10" x14ac:dyDescent="0.25">
      <c r="E313" s="109"/>
      <c r="F313" s="105"/>
    </row>
    <row r="314" spans="5:10" x14ac:dyDescent="0.25">
      <c r="E314" s="109"/>
      <c r="F314" s="105"/>
    </row>
    <row r="315" spans="5:10" x14ac:dyDescent="0.25">
      <c r="E315" s="109"/>
      <c r="F315" s="105"/>
    </row>
    <row r="316" spans="5:10" x14ac:dyDescent="0.25">
      <c r="E316" s="109"/>
      <c r="F316" s="105"/>
    </row>
    <row r="317" spans="5:10" x14ac:dyDescent="0.25">
      <c r="E317" s="109"/>
      <c r="F317" s="105"/>
    </row>
    <row r="318" spans="5:10" x14ac:dyDescent="0.25">
      <c r="E318" s="109"/>
      <c r="F318" s="105"/>
      <c r="H318" s="100"/>
    </row>
    <row r="319" spans="5:10" x14ac:dyDescent="0.25">
      <c r="E319" s="109"/>
      <c r="F319" s="105"/>
      <c r="H319" s="230"/>
      <c r="I319" s="101"/>
      <c r="J319" s="101"/>
    </row>
    <row r="320" spans="5:10" x14ac:dyDescent="0.25">
      <c r="E320" s="109"/>
      <c r="F320" s="105"/>
      <c r="H320" s="230"/>
      <c r="I320" s="101"/>
      <c r="J320" s="101"/>
    </row>
    <row r="321" spans="5:10" x14ac:dyDescent="0.25">
      <c r="E321" s="109"/>
      <c r="F321" s="105"/>
      <c r="H321" s="230"/>
      <c r="I321" s="101"/>
      <c r="J321" s="101"/>
    </row>
    <row r="322" spans="5:10" x14ac:dyDescent="0.25">
      <c r="E322" s="109"/>
      <c r="F322" s="105"/>
      <c r="H322" s="230"/>
      <c r="I322" s="101"/>
      <c r="J322" s="101"/>
    </row>
    <row r="323" spans="5:10" x14ac:dyDescent="0.25">
      <c r="E323" s="109"/>
      <c r="F323" s="105"/>
      <c r="H323" s="230"/>
      <c r="I323" s="101"/>
      <c r="J323" s="101"/>
    </row>
    <row r="324" spans="5:10" x14ac:dyDescent="0.25">
      <c r="E324" s="109"/>
      <c r="F324" s="105"/>
      <c r="H324" s="230"/>
      <c r="I324" s="101"/>
      <c r="J324" s="101"/>
    </row>
    <row r="325" spans="5:10" x14ac:dyDescent="0.25">
      <c r="E325" s="109"/>
      <c r="F325" s="105"/>
      <c r="H325" s="230"/>
      <c r="I325" s="101"/>
      <c r="J325" s="101"/>
    </row>
    <row r="326" spans="5:10" x14ac:dyDescent="0.25">
      <c r="H326" s="230"/>
      <c r="I326" s="101"/>
      <c r="J326" s="101"/>
    </row>
    <row r="327" spans="5:10" x14ac:dyDescent="0.25">
      <c r="H327" s="230"/>
      <c r="I327" s="101"/>
      <c r="J327" s="101"/>
    </row>
    <row r="328" spans="5:10" x14ac:dyDescent="0.25">
      <c r="E328" s="229"/>
      <c r="F328" s="229"/>
      <c r="H328" s="230"/>
      <c r="I328" s="101"/>
      <c r="J328" s="101"/>
    </row>
    <row r="329" spans="5:10" x14ac:dyDescent="0.25">
      <c r="E329" s="229"/>
      <c r="F329" s="229"/>
      <c r="H329" s="230"/>
      <c r="I329" s="101"/>
      <c r="J329" s="101"/>
    </row>
    <row r="330" spans="5:10" x14ac:dyDescent="0.25">
      <c r="E330" s="229"/>
      <c r="F330" s="229"/>
      <c r="H330" s="230"/>
      <c r="I330" s="101"/>
      <c r="J330" s="101"/>
    </row>
    <row r="331" spans="5:10" x14ac:dyDescent="0.25">
      <c r="E331" s="229"/>
      <c r="F331" s="229"/>
    </row>
    <row r="332" spans="5:10" x14ac:dyDescent="0.25">
      <c r="E332" s="229"/>
      <c r="F332" s="229"/>
    </row>
    <row r="333" spans="5:10" x14ac:dyDescent="0.25">
      <c r="E333" s="229"/>
      <c r="F333" s="229"/>
    </row>
    <row r="334" spans="5:10" x14ac:dyDescent="0.25">
      <c r="E334" s="229"/>
      <c r="F334" s="229"/>
    </row>
    <row r="335" spans="5:10" x14ac:dyDescent="0.25">
      <c r="E335" s="229"/>
      <c r="F335" s="229"/>
    </row>
    <row r="336" spans="5:10" x14ac:dyDescent="0.25">
      <c r="E336" s="229"/>
      <c r="F336" s="229"/>
    </row>
    <row r="337" spans="5:6" x14ac:dyDescent="0.25">
      <c r="E337" s="229"/>
      <c r="F337" s="229"/>
    </row>
    <row r="338" spans="5:6" x14ac:dyDescent="0.25">
      <c r="E338" s="229"/>
      <c r="F338" s="229"/>
    </row>
    <row r="339" spans="5:6" x14ac:dyDescent="0.25">
      <c r="E339" s="229"/>
      <c r="F339" s="229"/>
    </row>
  </sheetData>
  <mergeCells count="1">
    <mergeCell ref="A243:C243"/>
  </mergeCells>
  <pageMargins left="0.11811023622047245" right="0.11811023622047245" top="0.15748031496062992" bottom="0.15748031496062992" header="0.11811023622047245" footer="0.11811023622047245"/>
  <pageSetup scale="77" orientation="portrait" r:id="rId1"/>
  <colBreaks count="1" manualBreakCount="1">
    <brk id="6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F144"/>
  <sheetViews>
    <sheetView view="pageBreakPreview" topLeftCell="A77" zoomScaleNormal="100" zoomScaleSheetLayoutView="100" workbookViewId="0">
      <selection activeCell="F69" sqref="F69"/>
    </sheetView>
  </sheetViews>
  <sheetFormatPr defaultColWidth="9.33203125" defaultRowHeight="13.2" x14ac:dyDescent="0.25"/>
  <cols>
    <col min="2" max="2" width="12.6640625" bestFit="1" customWidth="1"/>
    <col min="3" max="3" width="12.6640625" style="32" bestFit="1" customWidth="1"/>
    <col min="5" max="5" width="13.44140625" bestFit="1" customWidth="1"/>
    <col min="6" max="6" width="11.44140625" bestFit="1" customWidth="1"/>
  </cols>
  <sheetData>
    <row r="1" spans="1:3" ht="39.6" x14ac:dyDescent="0.25">
      <c r="B1" s="110" t="s">
        <v>113</v>
      </c>
      <c r="C1" s="171"/>
    </row>
    <row r="2" spans="1:3" x14ac:dyDescent="0.25">
      <c r="A2" s="3">
        <v>40148</v>
      </c>
      <c r="B2" s="73">
        <v>407637.63</v>
      </c>
      <c r="C2" s="135">
        <f>B2</f>
        <v>407637.63</v>
      </c>
    </row>
    <row r="3" spans="1:3" x14ac:dyDescent="0.25">
      <c r="A3" s="3">
        <v>40179</v>
      </c>
      <c r="B3" s="73">
        <v>382398.57</v>
      </c>
      <c r="C3" s="135"/>
    </row>
    <row r="4" spans="1:3" x14ac:dyDescent="0.25">
      <c r="A4" s="3">
        <v>40210</v>
      </c>
      <c r="B4" s="73">
        <v>337484.34</v>
      </c>
      <c r="C4" s="135"/>
    </row>
    <row r="5" spans="1:3" x14ac:dyDescent="0.25">
      <c r="A5" s="3">
        <v>40238</v>
      </c>
      <c r="B5" s="73">
        <v>384544.26</v>
      </c>
      <c r="C5" s="135"/>
    </row>
    <row r="6" spans="1:3" x14ac:dyDescent="0.25">
      <c r="A6" s="3">
        <v>40269</v>
      </c>
      <c r="B6" s="73">
        <v>371443.59</v>
      </c>
      <c r="C6" s="135"/>
    </row>
    <row r="7" spans="1:3" x14ac:dyDescent="0.25">
      <c r="A7" s="3">
        <v>40299</v>
      </c>
      <c r="B7" s="73">
        <v>426876.75</v>
      </c>
      <c r="C7" s="135"/>
    </row>
    <row r="8" spans="1:3" x14ac:dyDescent="0.25">
      <c r="A8" s="3">
        <v>40330</v>
      </c>
      <c r="B8" s="73">
        <v>438017.49</v>
      </c>
      <c r="C8" s="135"/>
    </row>
    <row r="9" spans="1:3" x14ac:dyDescent="0.25">
      <c r="A9" s="3">
        <v>40360</v>
      </c>
      <c r="B9" s="73">
        <v>474347.34</v>
      </c>
      <c r="C9" s="135"/>
    </row>
    <row r="10" spans="1:3" x14ac:dyDescent="0.25">
      <c r="A10" s="3">
        <v>40391</v>
      </c>
      <c r="B10" s="73">
        <v>463717.17</v>
      </c>
      <c r="C10" s="135"/>
    </row>
    <row r="11" spans="1:3" x14ac:dyDescent="0.25">
      <c r="A11" s="3">
        <v>40422</v>
      </c>
      <c r="B11" s="73">
        <v>407795.85</v>
      </c>
      <c r="C11" s="135"/>
    </row>
    <row r="12" spans="1:3" x14ac:dyDescent="0.25">
      <c r="A12" s="3">
        <v>40452</v>
      </c>
      <c r="B12" s="73">
        <v>390634.11</v>
      </c>
      <c r="C12" s="135"/>
    </row>
    <row r="13" spans="1:3" x14ac:dyDescent="0.25">
      <c r="A13" s="3">
        <v>40483</v>
      </c>
      <c r="B13" s="73">
        <v>370443.24</v>
      </c>
      <c r="C13" s="135"/>
    </row>
    <row r="14" spans="1:3" x14ac:dyDescent="0.25">
      <c r="A14" s="3">
        <v>40513</v>
      </c>
      <c r="B14" s="73">
        <v>385786.8</v>
      </c>
      <c r="C14" s="135">
        <f>SUM(B3:B14)</f>
        <v>4833489.51</v>
      </c>
    </row>
    <row r="15" spans="1:3" x14ac:dyDescent="0.25">
      <c r="A15" s="3">
        <v>40544</v>
      </c>
      <c r="B15" s="73">
        <v>382528.71</v>
      </c>
      <c r="C15" s="135"/>
    </row>
    <row r="16" spans="1:3" x14ac:dyDescent="0.25">
      <c r="A16" s="3">
        <v>40575</v>
      </c>
      <c r="B16" s="73">
        <v>339255</v>
      </c>
      <c r="C16" s="135"/>
    </row>
    <row r="17" spans="1:3" x14ac:dyDescent="0.25">
      <c r="A17" s="3">
        <v>40603</v>
      </c>
      <c r="B17" s="73">
        <v>382156.11</v>
      </c>
      <c r="C17" s="135"/>
    </row>
    <row r="18" spans="1:3" x14ac:dyDescent="0.25">
      <c r="A18" s="3">
        <v>40634</v>
      </c>
      <c r="B18" s="73">
        <v>371672.55</v>
      </c>
      <c r="C18" s="135"/>
    </row>
    <row r="19" spans="1:3" x14ac:dyDescent="0.25">
      <c r="A19" s="3">
        <v>40664</v>
      </c>
      <c r="B19" s="73">
        <v>411826.68</v>
      </c>
      <c r="C19" s="135"/>
    </row>
    <row r="20" spans="1:3" x14ac:dyDescent="0.25">
      <c r="A20" s="3">
        <v>40695</v>
      </c>
      <c r="B20" s="73">
        <v>424234.8</v>
      </c>
      <c r="C20" s="135"/>
    </row>
    <row r="21" spans="1:3" x14ac:dyDescent="0.25">
      <c r="A21" s="3">
        <v>40725</v>
      </c>
      <c r="B21" s="73">
        <v>479336.67</v>
      </c>
      <c r="C21" s="135"/>
    </row>
    <row r="22" spans="1:3" x14ac:dyDescent="0.25">
      <c r="A22" s="3">
        <v>40756</v>
      </c>
      <c r="B22" s="73">
        <v>455363.37</v>
      </c>
      <c r="C22" s="135"/>
    </row>
    <row r="23" spans="1:3" x14ac:dyDescent="0.25">
      <c r="A23" s="3">
        <v>40787</v>
      </c>
      <c r="B23" s="73">
        <v>410701.59</v>
      </c>
      <c r="C23" s="135"/>
    </row>
    <row r="24" spans="1:3" x14ac:dyDescent="0.25">
      <c r="A24" s="3">
        <v>40817</v>
      </c>
      <c r="B24" s="73">
        <v>385105.86</v>
      </c>
      <c r="C24" s="135"/>
    </row>
    <row r="25" spans="1:3" x14ac:dyDescent="0.25">
      <c r="A25" s="3">
        <v>40848</v>
      </c>
      <c r="B25" s="73">
        <v>357317.73</v>
      </c>
      <c r="C25" s="135"/>
    </row>
    <row r="26" spans="1:3" x14ac:dyDescent="0.25">
      <c r="A26" s="3">
        <v>40878</v>
      </c>
      <c r="B26" s="73">
        <v>364649.85</v>
      </c>
      <c r="C26" s="135">
        <f>SUM(B15:B26)</f>
        <v>4764148.919999999</v>
      </c>
    </row>
    <row r="27" spans="1:3" x14ac:dyDescent="0.25">
      <c r="A27" s="3">
        <v>40909</v>
      </c>
      <c r="B27" s="73">
        <v>364090.95</v>
      </c>
      <c r="C27" s="135"/>
    </row>
    <row r="28" spans="1:3" x14ac:dyDescent="0.25">
      <c r="A28" s="3">
        <v>40940</v>
      </c>
      <c r="B28" s="73">
        <v>320692.77</v>
      </c>
      <c r="C28" s="135"/>
    </row>
    <row r="29" spans="1:3" x14ac:dyDescent="0.25">
      <c r="A29" s="3">
        <v>40969</v>
      </c>
      <c r="B29" s="73">
        <v>357387.66</v>
      </c>
      <c r="C29" s="135"/>
    </row>
    <row r="30" spans="1:3" x14ac:dyDescent="0.25">
      <c r="A30" s="3">
        <v>41000</v>
      </c>
      <c r="B30" s="73">
        <v>338770.89</v>
      </c>
      <c r="C30" s="135"/>
    </row>
    <row r="31" spans="1:3" x14ac:dyDescent="0.25">
      <c r="A31" s="3">
        <v>41030</v>
      </c>
      <c r="B31" s="73">
        <v>387796.95</v>
      </c>
      <c r="C31" s="135"/>
    </row>
    <row r="32" spans="1:3" x14ac:dyDescent="0.25">
      <c r="A32" s="3">
        <v>41061</v>
      </c>
      <c r="B32" s="73">
        <v>404462.43</v>
      </c>
      <c r="C32" s="135"/>
    </row>
    <row r="33" spans="1:3" x14ac:dyDescent="0.25">
      <c r="A33" s="3">
        <v>41091</v>
      </c>
      <c r="B33" s="73">
        <v>380974.05</v>
      </c>
      <c r="C33" s="135"/>
    </row>
    <row r="34" spans="1:3" x14ac:dyDescent="0.25">
      <c r="A34" s="3">
        <v>41122</v>
      </c>
      <c r="B34" s="73">
        <v>508657.46</v>
      </c>
      <c r="C34" s="135"/>
    </row>
    <row r="35" spans="1:3" x14ac:dyDescent="0.25">
      <c r="A35" s="3">
        <v>41153</v>
      </c>
      <c r="B35" s="73">
        <v>378234.79</v>
      </c>
      <c r="C35" s="135"/>
    </row>
    <row r="36" spans="1:3" x14ac:dyDescent="0.25">
      <c r="A36" s="3">
        <v>41183</v>
      </c>
      <c r="B36" s="73">
        <v>365674.52</v>
      </c>
      <c r="C36" s="135"/>
    </row>
    <row r="37" spans="1:3" x14ac:dyDescent="0.25">
      <c r="A37" s="3">
        <v>41214</v>
      </c>
      <c r="B37" s="73">
        <v>352309.92</v>
      </c>
      <c r="C37" s="135"/>
    </row>
    <row r="38" spans="1:3" x14ac:dyDescent="0.25">
      <c r="A38" s="3">
        <v>41244</v>
      </c>
      <c r="B38" s="73">
        <v>385334.27</v>
      </c>
      <c r="C38" s="135">
        <f>SUM(B27:B38)</f>
        <v>4544386.66</v>
      </c>
    </row>
    <row r="39" spans="1:3" x14ac:dyDescent="0.25">
      <c r="A39" s="3">
        <v>41275</v>
      </c>
      <c r="B39" s="73">
        <v>377515.67</v>
      </c>
      <c r="C39" s="135"/>
    </row>
    <row r="40" spans="1:3" x14ac:dyDescent="0.25">
      <c r="A40" s="3">
        <v>41306</v>
      </c>
      <c r="B40" s="73">
        <v>327338.17</v>
      </c>
      <c r="C40" s="135"/>
    </row>
    <row r="41" spans="1:3" x14ac:dyDescent="0.25">
      <c r="A41" s="3">
        <v>41334</v>
      </c>
      <c r="B41" s="73">
        <v>362504.74</v>
      </c>
      <c r="C41" s="135"/>
    </row>
    <row r="42" spans="1:3" x14ac:dyDescent="0.25">
      <c r="A42" s="3">
        <v>41365</v>
      </c>
      <c r="B42" s="73">
        <v>359522.2</v>
      </c>
      <c r="C42" s="135"/>
    </row>
    <row r="43" spans="1:3" x14ac:dyDescent="0.25">
      <c r="A43" s="3">
        <v>41395</v>
      </c>
      <c r="B43" s="73">
        <v>397639.71</v>
      </c>
      <c r="C43" s="135"/>
    </row>
    <row r="44" spans="1:3" x14ac:dyDescent="0.25">
      <c r="A44" s="3">
        <v>41426</v>
      </c>
      <c r="B44" s="73">
        <v>407162.86</v>
      </c>
      <c r="C44" s="135"/>
    </row>
    <row r="45" spans="1:3" x14ac:dyDescent="0.25">
      <c r="A45" s="3">
        <v>41456</v>
      </c>
      <c r="B45" s="73">
        <v>444743.58</v>
      </c>
      <c r="C45" s="135"/>
    </row>
    <row r="46" spans="1:3" x14ac:dyDescent="0.25">
      <c r="A46" s="3">
        <v>41487</v>
      </c>
      <c r="B46" s="73">
        <v>434912.29</v>
      </c>
      <c r="C46" s="135"/>
    </row>
    <row r="47" spans="1:3" x14ac:dyDescent="0.25">
      <c r="A47" s="3">
        <v>41518</v>
      </c>
      <c r="B47" s="73">
        <v>391448.66</v>
      </c>
      <c r="C47" s="135"/>
    </row>
    <row r="48" spans="1:3" x14ac:dyDescent="0.25">
      <c r="A48" s="3">
        <v>41548</v>
      </c>
      <c r="B48" s="73">
        <v>377726.71</v>
      </c>
      <c r="C48" s="135"/>
    </row>
    <row r="49" spans="1:5" x14ac:dyDescent="0.25">
      <c r="A49" s="3">
        <v>41579</v>
      </c>
      <c r="B49" s="73">
        <v>354348.77</v>
      </c>
      <c r="C49" s="135"/>
    </row>
    <row r="50" spans="1:5" x14ac:dyDescent="0.25">
      <c r="A50" s="3">
        <v>41609</v>
      </c>
      <c r="B50" s="73">
        <v>370634.28</v>
      </c>
      <c r="C50" s="135">
        <f>SUM(B39:B50)</f>
        <v>4605497.6400000006</v>
      </c>
    </row>
    <row r="51" spans="1:5" x14ac:dyDescent="0.25">
      <c r="A51" s="3">
        <v>41640</v>
      </c>
      <c r="B51" s="73">
        <v>366493.27</v>
      </c>
      <c r="C51" s="135"/>
    </row>
    <row r="52" spans="1:5" x14ac:dyDescent="0.25">
      <c r="A52" s="3">
        <v>41671</v>
      </c>
      <c r="B52" s="73">
        <v>323641.03999999998</v>
      </c>
      <c r="C52" s="135"/>
    </row>
    <row r="53" spans="1:5" x14ac:dyDescent="0.25">
      <c r="A53" s="3">
        <v>41699</v>
      </c>
      <c r="B53" s="73">
        <v>347275.03</v>
      </c>
      <c r="C53" s="135"/>
    </row>
    <row r="54" spans="1:5" x14ac:dyDescent="0.25">
      <c r="A54" s="3">
        <v>41730</v>
      </c>
      <c r="B54" s="73">
        <v>342098.99</v>
      </c>
      <c r="C54" s="135"/>
    </row>
    <row r="55" spans="1:5" x14ac:dyDescent="0.25">
      <c r="A55" s="3">
        <v>41760</v>
      </c>
      <c r="B55" s="73">
        <v>382958.26</v>
      </c>
      <c r="C55" s="135"/>
    </row>
    <row r="56" spans="1:5" x14ac:dyDescent="0.25">
      <c r="A56" s="3">
        <v>41791</v>
      </c>
      <c r="B56" s="73">
        <v>407919.19</v>
      </c>
      <c r="C56" s="135"/>
    </row>
    <row r="57" spans="1:5" x14ac:dyDescent="0.25">
      <c r="A57" s="3">
        <v>41821</v>
      </c>
      <c r="B57" s="73">
        <v>420622.5</v>
      </c>
      <c r="C57" s="135"/>
    </row>
    <row r="58" spans="1:5" x14ac:dyDescent="0.25">
      <c r="A58" s="3">
        <v>41852</v>
      </c>
      <c r="B58" s="73">
        <v>422321.68</v>
      </c>
      <c r="C58" s="135"/>
    </row>
    <row r="59" spans="1:5" x14ac:dyDescent="0.25">
      <c r="A59" s="3">
        <v>41883</v>
      </c>
      <c r="B59" s="73">
        <v>385077.24</v>
      </c>
      <c r="C59" s="135"/>
    </row>
    <row r="60" spans="1:5" x14ac:dyDescent="0.25">
      <c r="A60" s="3">
        <v>41913</v>
      </c>
      <c r="B60" s="73">
        <v>364394.21</v>
      </c>
      <c r="C60" s="135"/>
    </row>
    <row r="61" spans="1:5" x14ac:dyDescent="0.25">
      <c r="A61" s="3">
        <v>41944</v>
      </c>
      <c r="B61" s="73">
        <v>339127.69</v>
      </c>
      <c r="E61" s="82"/>
    </row>
    <row r="62" spans="1:5" x14ac:dyDescent="0.25">
      <c r="A62" s="3">
        <v>41974</v>
      </c>
      <c r="B62" s="73">
        <v>363670.43</v>
      </c>
      <c r="C62" s="135">
        <f>SUM(B51:B62)</f>
        <v>4465599.53</v>
      </c>
      <c r="E62" s="82"/>
    </row>
    <row r="63" spans="1:5" x14ac:dyDescent="0.25">
      <c r="A63" s="3">
        <v>42005</v>
      </c>
      <c r="B63" s="73">
        <v>349679.32</v>
      </c>
      <c r="C63" s="135"/>
      <c r="E63" s="118"/>
    </row>
    <row r="64" spans="1:5" x14ac:dyDescent="0.25">
      <c r="A64" s="3">
        <v>42036</v>
      </c>
      <c r="B64" s="73">
        <v>311629.42</v>
      </c>
      <c r="C64" s="135"/>
      <c r="E64" s="118"/>
    </row>
    <row r="65" spans="1:5" x14ac:dyDescent="0.25">
      <c r="A65" s="3">
        <v>42064</v>
      </c>
      <c r="B65" s="73">
        <v>338592.97</v>
      </c>
      <c r="C65" s="135"/>
      <c r="E65" s="118"/>
    </row>
    <row r="66" spans="1:5" x14ac:dyDescent="0.25">
      <c r="A66" s="3">
        <v>42095</v>
      </c>
      <c r="B66" s="73">
        <v>331358.40000000002</v>
      </c>
      <c r="C66" s="135"/>
      <c r="E66" s="118"/>
    </row>
    <row r="67" spans="1:5" x14ac:dyDescent="0.25">
      <c r="A67" s="3">
        <v>42125</v>
      </c>
      <c r="B67" s="73">
        <v>387811.18</v>
      </c>
      <c r="C67" s="135"/>
      <c r="E67" s="118"/>
    </row>
    <row r="68" spans="1:5" x14ac:dyDescent="0.25">
      <c r="A68" s="3">
        <v>42156</v>
      </c>
      <c r="B68" s="73">
        <v>388273.17</v>
      </c>
      <c r="C68" s="135"/>
      <c r="E68" s="118"/>
    </row>
    <row r="69" spans="1:5" x14ac:dyDescent="0.25">
      <c r="A69" s="3">
        <v>42186</v>
      </c>
      <c r="B69" s="73">
        <v>416075.88</v>
      </c>
      <c r="C69" s="135"/>
      <c r="E69" s="118"/>
    </row>
    <row r="70" spans="1:5" x14ac:dyDescent="0.25">
      <c r="A70" s="3">
        <v>42217</v>
      </c>
      <c r="B70" s="73">
        <v>408312.56</v>
      </c>
      <c r="C70" s="135"/>
      <c r="E70" s="118"/>
    </row>
    <row r="71" spans="1:5" x14ac:dyDescent="0.25">
      <c r="A71" s="3">
        <v>42248</v>
      </c>
      <c r="B71" s="73">
        <v>388313.1</v>
      </c>
      <c r="C71" s="135"/>
      <c r="E71" s="118"/>
    </row>
    <row r="72" spans="1:5" x14ac:dyDescent="0.25">
      <c r="A72" s="3">
        <v>42278</v>
      </c>
      <c r="B72" s="73">
        <v>343943.44</v>
      </c>
      <c r="C72" s="135"/>
      <c r="E72" s="118"/>
    </row>
    <row r="73" spans="1:5" x14ac:dyDescent="0.25">
      <c r="A73" s="3">
        <v>42309</v>
      </c>
      <c r="B73" s="73">
        <v>299933.71000000002</v>
      </c>
      <c r="C73" s="135"/>
      <c r="E73" s="118"/>
    </row>
    <row r="74" spans="1:5" x14ac:dyDescent="0.25">
      <c r="A74" s="3">
        <v>42339</v>
      </c>
      <c r="B74" s="73">
        <v>331710.99</v>
      </c>
      <c r="C74" s="135">
        <f>SUM(B63:B74)</f>
        <v>4295634.1399999997</v>
      </c>
      <c r="E74" s="118"/>
    </row>
    <row r="75" spans="1:5" x14ac:dyDescent="0.25">
      <c r="A75" s="3">
        <v>42370</v>
      </c>
      <c r="B75" s="73">
        <v>323380.34000000003</v>
      </c>
      <c r="C75" s="135"/>
      <c r="E75" s="118"/>
    </row>
    <row r="76" spans="1:5" x14ac:dyDescent="0.25">
      <c r="A76" s="3">
        <v>42401</v>
      </c>
      <c r="B76" s="73">
        <v>307303.69</v>
      </c>
      <c r="C76" s="135"/>
      <c r="E76" s="118"/>
    </row>
    <row r="77" spans="1:5" x14ac:dyDescent="0.25">
      <c r="A77" s="3">
        <v>42430</v>
      </c>
      <c r="B77" s="73">
        <v>313904.81</v>
      </c>
      <c r="C77" s="135"/>
      <c r="E77" s="118"/>
    </row>
    <row r="78" spans="1:5" x14ac:dyDescent="0.25">
      <c r="A78" s="3">
        <v>42461</v>
      </c>
      <c r="B78" s="73">
        <v>316565.49</v>
      </c>
      <c r="C78" s="135"/>
      <c r="E78" s="118"/>
    </row>
    <row r="79" spans="1:5" x14ac:dyDescent="0.25">
      <c r="A79" s="3">
        <v>42491</v>
      </c>
      <c r="B79" s="73">
        <v>356910.89</v>
      </c>
      <c r="C79" s="135"/>
      <c r="E79" s="118"/>
    </row>
    <row r="80" spans="1:5" x14ac:dyDescent="0.25">
      <c r="A80" s="3">
        <v>42522</v>
      </c>
      <c r="B80" s="73">
        <v>370634.23</v>
      </c>
      <c r="C80" s="135"/>
      <c r="E80" s="118"/>
    </row>
    <row r="81" spans="1:5" x14ac:dyDescent="0.25">
      <c r="A81" s="3">
        <v>42552</v>
      </c>
      <c r="B81" s="73">
        <v>405805.04</v>
      </c>
      <c r="C81" s="135"/>
      <c r="E81" s="118"/>
    </row>
    <row r="82" spans="1:5" x14ac:dyDescent="0.25">
      <c r="A82" s="3">
        <v>42583</v>
      </c>
      <c r="B82" s="73">
        <v>416261.02</v>
      </c>
      <c r="C82" s="135"/>
      <c r="E82" s="118"/>
    </row>
    <row r="83" spans="1:5" x14ac:dyDescent="0.25">
      <c r="A83" s="3">
        <v>42614</v>
      </c>
      <c r="B83" s="73">
        <v>367656.67</v>
      </c>
      <c r="C83" s="135"/>
      <c r="E83" s="118"/>
    </row>
    <row r="84" spans="1:5" x14ac:dyDescent="0.25">
      <c r="A84" s="3">
        <v>42644</v>
      </c>
      <c r="B84" s="73">
        <v>331558.94</v>
      </c>
      <c r="C84" s="135"/>
      <c r="E84" s="118"/>
    </row>
    <row r="85" spans="1:5" x14ac:dyDescent="0.25">
      <c r="A85" s="3">
        <v>42675</v>
      </c>
      <c r="B85" s="73">
        <v>310639.39</v>
      </c>
      <c r="C85" s="135"/>
      <c r="E85" s="118"/>
    </row>
    <row r="86" spans="1:5" x14ac:dyDescent="0.25">
      <c r="A86" s="3">
        <v>42705</v>
      </c>
      <c r="B86" s="73">
        <v>313662.21999999997</v>
      </c>
      <c r="C86" s="135">
        <f>SUM(B75:B86)</f>
        <v>4134282.7300000004</v>
      </c>
      <c r="E86" s="118"/>
    </row>
    <row r="87" spans="1:5" x14ac:dyDescent="0.25">
      <c r="A87" s="3">
        <v>42736</v>
      </c>
      <c r="B87" s="73">
        <v>308288.36</v>
      </c>
      <c r="C87" s="135"/>
      <c r="E87" s="118"/>
    </row>
    <row r="88" spans="1:5" x14ac:dyDescent="0.25">
      <c r="A88" s="3">
        <v>42767</v>
      </c>
      <c r="B88" s="73">
        <v>278939.56</v>
      </c>
      <c r="C88" s="135"/>
      <c r="E88" s="118"/>
    </row>
    <row r="89" spans="1:5" x14ac:dyDescent="0.25">
      <c r="A89" s="3">
        <v>42795</v>
      </c>
      <c r="B89" s="73">
        <v>313985.06</v>
      </c>
      <c r="C89" s="135"/>
      <c r="E89" s="118"/>
    </row>
    <row r="90" spans="1:5" x14ac:dyDescent="0.25">
      <c r="A90" s="3">
        <v>42826</v>
      </c>
      <c r="B90" s="73">
        <v>312160.38</v>
      </c>
      <c r="C90" s="135"/>
      <c r="E90" s="118"/>
    </row>
    <row r="91" spans="1:5" x14ac:dyDescent="0.25">
      <c r="A91" s="3">
        <v>42856</v>
      </c>
      <c r="B91" s="73">
        <v>337464.62</v>
      </c>
      <c r="C91" s="135"/>
      <c r="E91" s="118"/>
    </row>
    <row r="92" spans="1:5" x14ac:dyDescent="0.25">
      <c r="A92" s="3">
        <v>42887</v>
      </c>
      <c r="B92" s="73">
        <v>359776.48</v>
      </c>
      <c r="C92" s="135"/>
      <c r="E92" s="118"/>
    </row>
    <row r="93" spans="1:5" x14ac:dyDescent="0.25">
      <c r="A93" s="3">
        <v>42917</v>
      </c>
      <c r="B93" s="73">
        <v>384387.97</v>
      </c>
      <c r="C93" s="135"/>
      <c r="E93" s="118"/>
    </row>
    <row r="94" spans="1:5" x14ac:dyDescent="0.25">
      <c r="A94" s="3">
        <v>42948</v>
      </c>
      <c r="B94" s="73">
        <v>383201.9</v>
      </c>
      <c r="C94" s="135"/>
      <c r="E94" s="118"/>
    </row>
    <row r="95" spans="1:5" x14ac:dyDescent="0.25">
      <c r="A95" s="3">
        <v>42979</v>
      </c>
      <c r="B95" s="73">
        <v>363847.08</v>
      </c>
      <c r="C95" s="135"/>
      <c r="E95" s="118"/>
    </row>
    <row r="96" spans="1:5" x14ac:dyDescent="0.25">
      <c r="A96" s="3">
        <v>43009</v>
      </c>
      <c r="B96" s="73">
        <v>345569.91</v>
      </c>
      <c r="C96" s="135"/>
      <c r="E96" s="118"/>
    </row>
    <row r="97" spans="1:6" x14ac:dyDescent="0.25">
      <c r="A97" s="3">
        <v>43040</v>
      </c>
      <c r="B97" s="73">
        <v>307932.48</v>
      </c>
      <c r="C97" s="135"/>
      <c r="E97" s="118"/>
    </row>
    <row r="98" spans="1:6" x14ac:dyDescent="0.25">
      <c r="A98" s="3">
        <v>43070</v>
      </c>
      <c r="B98" s="73">
        <v>313952.57</v>
      </c>
      <c r="C98" s="135">
        <f>SUM(B87:B98)</f>
        <v>4009506.3699999996</v>
      </c>
      <c r="E98" s="118"/>
      <c r="F98" s="122"/>
    </row>
    <row r="99" spans="1:6" x14ac:dyDescent="0.25">
      <c r="A99" s="3">
        <v>43101</v>
      </c>
      <c r="B99" s="73">
        <v>307997.84000000003</v>
      </c>
      <c r="C99" s="135"/>
      <c r="E99" s="118"/>
      <c r="F99" s="122"/>
    </row>
    <row r="100" spans="1:6" x14ac:dyDescent="0.25">
      <c r="A100" s="3">
        <v>43132</v>
      </c>
      <c r="B100" s="73">
        <v>273572.96999999997</v>
      </c>
      <c r="C100" s="135"/>
      <c r="E100" s="118"/>
      <c r="F100" s="122"/>
    </row>
    <row r="101" spans="1:6" x14ac:dyDescent="0.25">
      <c r="A101" s="3">
        <v>43160</v>
      </c>
      <c r="B101" s="73">
        <v>285916.03999999998</v>
      </c>
      <c r="C101" s="135"/>
      <c r="E101" s="118"/>
      <c r="F101" s="122"/>
    </row>
    <row r="102" spans="1:6" x14ac:dyDescent="0.25">
      <c r="A102" s="3">
        <v>43191</v>
      </c>
      <c r="B102" s="73">
        <v>281728.74</v>
      </c>
      <c r="C102" s="135"/>
      <c r="E102" s="118"/>
      <c r="F102" s="122"/>
    </row>
    <row r="103" spans="1:6" x14ac:dyDescent="0.25">
      <c r="A103" s="3">
        <v>43221</v>
      </c>
      <c r="B103" s="73">
        <v>346888.55</v>
      </c>
      <c r="C103" s="135"/>
      <c r="E103" s="118"/>
      <c r="F103" s="122"/>
    </row>
    <row r="104" spans="1:6" x14ac:dyDescent="0.25">
      <c r="A104" s="3">
        <v>43252</v>
      </c>
      <c r="B104" s="73">
        <v>350610.04</v>
      </c>
      <c r="C104" s="135"/>
      <c r="E104" s="118"/>
      <c r="F104" s="122"/>
    </row>
    <row r="105" spans="1:6" x14ac:dyDescent="0.25">
      <c r="A105" s="3">
        <v>43282</v>
      </c>
      <c r="B105" s="73">
        <v>386115.95</v>
      </c>
      <c r="C105" s="135"/>
      <c r="E105" s="118"/>
      <c r="F105" s="122"/>
    </row>
    <row r="106" spans="1:6" x14ac:dyDescent="0.25">
      <c r="A106" s="3">
        <v>43313</v>
      </c>
      <c r="B106" s="73">
        <v>387027.55</v>
      </c>
      <c r="C106" s="135"/>
      <c r="E106" s="118"/>
      <c r="F106" s="122"/>
    </row>
    <row r="107" spans="1:6" x14ac:dyDescent="0.25">
      <c r="A107" s="3">
        <v>43344</v>
      </c>
      <c r="B107" s="73">
        <v>347025.23</v>
      </c>
      <c r="C107" s="135"/>
      <c r="E107" s="118"/>
      <c r="F107" s="122"/>
    </row>
    <row r="108" spans="1:6" x14ac:dyDescent="0.25">
      <c r="A108" s="3">
        <v>43374</v>
      </c>
      <c r="B108" s="73">
        <v>311873.71000000002</v>
      </c>
      <c r="C108" s="135"/>
      <c r="E108" s="118"/>
      <c r="F108" s="122"/>
    </row>
    <row r="109" spans="1:6" x14ac:dyDescent="0.25">
      <c r="A109" s="3">
        <v>43405</v>
      </c>
      <c r="B109" s="73">
        <v>289192.58</v>
      </c>
      <c r="C109" s="135"/>
      <c r="E109" s="118"/>
      <c r="F109" s="122"/>
    </row>
    <row r="110" spans="1:6" x14ac:dyDescent="0.25">
      <c r="A110" s="3">
        <v>43435</v>
      </c>
      <c r="B110" s="73">
        <v>303003.46999999997</v>
      </c>
      <c r="C110" s="135">
        <f>SUM(B99:B110)</f>
        <v>3870952.67</v>
      </c>
      <c r="E110" s="118"/>
    </row>
    <row r="111" spans="1:6" x14ac:dyDescent="0.25">
      <c r="A111" s="3">
        <v>43466</v>
      </c>
      <c r="B111" s="73">
        <v>298139.90000000002</v>
      </c>
      <c r="C111" s="135"/>
      <c r="E111" s="118"/>
    </row>
    <row r="112" spans="1:6" x14ac:dyDescent="0.25">
      <c r="A112" s="3">
        <v>43497</v>
      </c>
      <c r="B112" s="73">
        <v>260608.74</v>
      </c>
      <c r="C112" s="135"/>
      <c r="E112" s="118"/>
    </row>
    <row r="113" spans="1:5" x14ac:dyDescent="0.25">
      <c r="A113" s="3">
        <v>43525</v>
      </c>
      <c r="B113" s="73">
        <v>284174.87</v>
      </c>
      <c r="C113" s="135"/>
      <c r="E113" s="118"/>
    </row>
    <row r="114" spans="1:5" x14ac:dyDescent="0.25">
      <c r="A114" s="3">
        <v>43556</v>
      </c>
      <c r="B114" s="73">
        <v>278876.62</v>
      </c>
      <c r="C114" s="135"/>
      <c r="E114" s="118"/>
    </row>
    <row r="115" spans="1:5" x14ac:dyDescent="0.25">
      <c r="A115" s="3">
        <v>43586</v>
      </c>
      <c r="B115" s="73">
        <v>302662.26</v>
      </c>
      <c r="C115" s="135"/>
      <c r="E115" s="118"/>
    </row>
    <row r="116" spans="1:5" x14ac:dyDescent="0.25">
      <c r="A116" s="3">
        <v>43617</v>
      </c>
      <c r="B116" s="73">
        <v>324669.82</v>
      </c>
      <c r="C116" s="135"/>
      <c r="E116" s="118"/>
    </row>
    <row r="117" spans="1:5" x14ac:dyDescent="0.25">
      <c r="A117" s="3">
        <v>43647</v>
      </c>
      <c r="B117" s="73">
        <v>384048.65</v>
      </c>
      <c r="C117" s="135"/>
      <c r="E117" s="118"/>
    </row>
    <row r="118" spans="1:5" x14ac:dyDescent="0.25">
      <c r="A118" s="3">
        <v>43678</v>
      </c>
      <c r="B118" s="73">
        <v>355258.95</v>
      </c>
      <c r="C118" s="135"/>
      <c r="E118" s="118"/>
    </row>
    <row r="119" spans="1:5" x14ac:dyDescent="0.25">
      <c r="A119" s="3">
        <v>43709</v>
      </c>
      <c r="B119" s="73">
        <v>317478.2</v>
      </c>
      <c r="C119" s="135"/>
      <c r="E119" s="118"/>
    </row>
    <row r="120" spans="1:5" x14ac:dyDescent="0.25">
      <c r="A120" s="3">
        <v>43739</v>
      </c>
      <c r="B120" s="73">
        <v>297520.46999999997</v>
      </c>
      <c r="C120" s="135"/>
      <c r="E120" s="118"/>
    </row>
    <row r="121" spans="1:5" x14ac:dyDescent="0.25">
      <c r="A121" s="3">
        <v>43770</v>
      </c>
      <c r="B121" s="73">
        <v>270258.90000000002</v>
      </c>
      <c r="C121" s="135"/>
      <c r="E121" s="118"/>
    </row>
    <row r="122" spans="1:5" x14ac:dyDescent="0.25">
      <c r="A122" s="3">
        <v>43800</v>
      </c>
      <c r="B122" s="73">
        <v>279122.71999999997</v>
      </c>
      <c r="C122" s="135">
        <f>SUM(B111:B122)</f>
        <v>3652820.1000000006</v>
      </c>
      <c r="E122" s="118"/>
    </row>
    <row r="123" spans="1:5" x14ac:dyDescent="0.25">
      <c r="A123" s="3"/>
      <c r="B123" s="118">
        <f>SUM(B2:B122)</f>
        <v>43583955.899999969</v>
      </c>
      <c r="C123" s="118">
        <f>SUM(C2:C122)</f>
        <v>43583955.900000006</v>
      </c>
      <c r="E123" s="118"/>
    </row>
    <row r="124" spans="1:5" x14ac:dyDescent="0.25">
      <c r="A124" s="3"/>
      <c r="B124" s="118"/>
      <c r="C124" s="135">
        <f>C123-C2</f>
        <v>43176318.270000003</v>
      </c>
      <c r="E124" s="118"/>
    </row>
    <row r="125" spans="1:5" x14ac:dyDescent="0.25">
      <c r="A125" s="3"/>
      <c r="B125" s="118"/>
      <c r="C125" s="135"/>
    </row>
    <row r="127" spans="1:5" x14ac:dyDescent="0.25">
      <c r="C127"/>
    </row>
    <row r="128" spans="1:5" x14ac:dyDescent="0.25">
      <c r="C128"/>
    </row>
    <row r="129" spans="2:3" x14ac:dyDescent="0.25">
      <c r="C129"/>
    </row>
    <row r="130" spans="2:3" x14ac:dyDescent="0.25">
      <c r="C130"/>
    </row>
    <row r="131" spans="2:3" x14ac:dyDescent="0.25">
      <c r="C131"/>
    </row>
    <row r="132" spans="2:3" x14ac:dyDescent="0.25">
      <c r="C132"/>
    </row>
    <row r="133" spans="2:3" x14ac:dyDescent="0.25">
      <c r="C133"/>
    </row>
    <row r="134" spans="2:3" x14ac:dyDescent="0.25">
      <c r="B134" s="82"/>
      <c r="C134" s="135"/>
    </row>
    <row r="135" spans="2:3" x14ac:dyDescent="0.25">
      <c r="B135" s="82"/>
      <c r="C135" s="135"/>
    </row>
    <row r="136" spans="2:3" x14ac:dyDescent="0.25">
      <c r="B136" s="82"/>
      <c r="C136" s="135"/>
    </row>
    <row r="137" spans="2:3" x14ac:dyDescent="0.25">
      <c r="B137" s="82"/>
      <c r="C137" s="135"/>
    </row>
    <row r="138" spans="2:3" x14ac:dyDescent="0.25">
      <c r="B138" s="82"/>
      <c r="C138" s="135"/>
    </row>
    <row r="139" spans="2:3" x14ac:dyDescent="0.25">
      <c r="B139" s="82"/>
      <c r="C139" s="135"/>
    </row>
    <row r="140" spans="2:3" x14ac:dyDescent="0.25">
      <c r="B140" s="82"/>
      <c r="C140" s="135"/>
    </row>
    <row r="141" spans="2:3" x14ac:dyDescent="0.25">
      <c r="B141" s="82"/>
      <c r="C141" s="135"/>
    </row>
    <row r="142" spans="2:3" x14ac:dyDescent="0.25">
      <c r="B142" s="82"/>
      <c r="C142" s="135"/>
    </row>
    <row r="143" spans="2:3" x14ac:dyDescent="0.25">
      <c r="C143" s="135"/>
    </row>
    <row r="144" spans="2:3" x14ac:dyDescent="0.25">
      <c r="C144" s="135"/>
    </row>
  </sheetData>
  <pageMargins left="0.70866141732283472" right="0.70866141732283472" top="0.74803149606299213" bottom="0.74803149606299213" header="0.31496062992125984" footer="0.31496062992125984"/>
  <pageSetup scale="82" orientation="portrait" r:id="rId1"/>
  <rowBreaks count="1" manualBreakCount="1">
    <brk id="62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I214"/>
  <sheetViews>
    <sheetView workbookViewId="0"/>
  </sheetViews>
  <sheetFormatPr defaultColWidth="9.33203125" defaultRowHeight="13.2" x14ac:dyDescent="0.25"/>
  <cols>
    <col min="1" max="1" width="11" customWidth="1"/>
    <col min="2" max="2" width="17.6640625" customWidth="1"/>
    <col min="3" max="3" width="13.44140625" bestFit="1" customWidth="1"/>
    <col min="4" max="4" width="13.6640625" bestFit="1" customWidth="1"/>
    <col min="5" max="5" width="16" bestFit="1" customWidth="1"/>
    <col min="6" max="6" width="12.33203125" bestFit="1" customWidth="1"/>
    <col min="7" max="7" width="11" customWidth="1"/>
    <col min="8" max="8" width="11.44140625" customWidth="1"/>
    <col min="9" max="9" width="16" bestFit="1" customWidth="1"/>
  </cols>
  <sheetData>
    <row r="1" spans="1:5" x14ac:dyDescent="0.25">
      <c r="A1" s="21" t="s">
        <v>127</v>
      </c>
      <c r="B1" s="261" t="s">
        <v>128</v>
      </c>
      <c r="C1" s="261"/>
      <c r="D1" s="261"/>
      <c r="E1" s="261"/>
    </row>
    <row r="3" spans="1:5" ht="26.4" x14ac:dyDescent="0.25">
      <c r="A3" s="130"/>
      <c r="B3" s="147" t="s">
        <v>61</v>
      </c>
      <c r="C3" s="147" t="s">
        <v>62</v>
      </c>
    </row>
    <row r="4" spans="1:5" x14ac:dyDescent="0.25">
      <c r="A4" s="130"/>
      <c r="B4" s="130"/>
      <c r="C4" s="130"/>
    </row>
    <row r="5" spans="1:5" x14ac:dyDescent="0.25">
      <c r="A5" s="130">
        <v>2003</v>
      </c>
      <c r="B5" s="148">
        <v>462324178</v>
      </c>
      <c r="C5" s="148">
        <v>460137107</v>
      </c>
    </row>
    <row r="6" spans="1:5" x14ac:dyDescent="0.25">
      <c r="A6" s="130">
        <v>2004</v>
      </c>
      <c r="B6" s="148">
        <v>468337202</v>
      </c>
      <c r="C6" s="148">
        <v>466528212</v>
      </c>
    </row>
    <row r="7" spans="1:5" x14ac:dyDescent="0.25">
      <c r="A7" s="130">
        <v>2005</v>
      </c>
      <c r="B7" s="148">
        <v>495175531</v>
      </c>
      <c r="C7" s="148">
        <v>499420216</v>
      </c>
    </row>
    <row r="8" spans="1:5" x14ac:dyDescent="0.25">
      <c r="A8" s="130">
        <v>2006</v>
      </c>
      <c r="B8" s="148">
        <v>494169384</v>
      </c>
      <c r="C8" s="148">
        <v>499631624</v>
      </c>
    </row>
    <row r="9" spans="1:5" x14ac:dyDescent="0.25">
      <c r="A9" s="130">
        <v>2007</v>
      </c>
      <c r="B9" s="148">
        <v>515246437</v>
      </c>
      <c r="C9" s="148">
        <v>514624685</v>
      </c>
    </row>
    <row r="10" spans="1:5" x14ac:dyDescent="0.25">
      <c r="A10" s="130">
        <v>2008</v>
      </c>
      <c r="B10" s="148">
        <v>511670678</v>
      </c>
      <c r="C10" s="148">
        <v>510595091</v>
      </c>
    </row>
    <row r="11" spans="1:5" x14ac:dyDescent="0.25">
      <c r="A11" s="130">
        <v>2009</v>
      </c>
      <c r="B11" s="148">
        <v>506216453</v>
      </c>
      <c r="C11" s="148">
        <v>508916895</v>
      </c>
    </row>
    <row r="12" spans="1:5" x14ac:dyDescent="0.25">
      <c r="A12" s="130">
        <v>2010</v>
      </c>
      <c r="B12" s="148">
        <v>533307177</v>
      </c>
      <c r="C12" s="148">
        <v>525784615</v>
      </c>
    </row>
    <row r="13" spans="1:5" x14ac:dyDescent="0.25">
      <c r="A13" s="130">
        <v>2011</v>
      </c>
      <c r="B13" s="148">
        <v>532890587</v>
      </c>
      <c r="C13" s="148">
        <v>529162301</v>
      </c>
    </row>
    <row r="14" spans="1:5" x14ac:dyDescent="0.25">
      <c r="A14" s="130">
        <v>2012</v>
      </c>
      <c r="B14" s="148">
        <v>527242916</v>
      </c>
      <c r="C14" s="148">
        <v>532091579</v>
      </c>
    </row>
    <row r="15" spans="1:5" x14ac:dyDescent="0.25">
      <c r="A15" s="130">
        <v>2013</v>
      </c>
      <c r="B15" s="148">
        <v>535407041</v>
      </c>
      <c r="C15" s="148">
        <v>536018141</v>
      </c>
    </row>
    <row r="16" spans="1:5" x14ac:dyDescent="0.25">
      <c r="A16" s="130">
        <v>2014</v>
      </c>
      <c r="B16" s="148">
        <v>547873684</v>
      </c>
      <c r="C16" s="148">
        <v>546950802</v>
      </c>
    </row>
    <row r="17" spans="1:9" x14ac:dyDescent="0.25">
      <c r="A17" s="130">
        <v>2015</v>
      </c>
      <c r="B17" s="130" t="s">
        <v>129</v>
      </c>
      <c r="C17" s="148">
        <v>552501212</v>
      </c>
    </row>
    <row r="18" spans="1:9" x14ac:dyDescent="0.25">
      <c r="A18" s="130">
        <v>2016</v>
      </c>
      <c r="B18" s="130" t="s">
        <v>129</v>
      </c>
      <c r="C18" s="148">
        <v>557440066</v>
      </c>
    </row>
    <row r="21" spans="1:9" x14ac:dyDescent="0.25">
      <c r="A21" s="21" t="s">
        <v>130</v>
      </c>
      <c r="B21" s="261" t="s">
        <v>131</v>
      </c>
      <c r="C21" s="261"/>
      <c r="D21" s="261"/>
      <c r="E21" s="261"/>
    </row>
    <row r="23" spans="1:9" ht="39.6" x14ac:dyDescent="0.25">
      <c r="A23" s="78" t="s">
        <v>99</v>
      </c>
      <c r="B23" s="78" t="s">
        <v>67</v>
      </c>
      <c r="C23" s="78" t="s">
        <v>132</v>
      </c>
      <c r="D23" s="147" t="s">
        <v>133</v>
      </c>
      <c r="E23" s="147" t="s">
        <v>134</v>
      </c>
      <c r="F23" s="78" t="s">
        <v>76</v>
      </c>
      <c r="G23" s="78" t="s">
        <v>71</v>
      </c>
      <c r="H23" s="147" t="s">
        <v>135</v>
      </c>
      <c r="I23" s="78" t="s">
        <v>11</v>
      </c>
    </row>
    <row r="24" spans="1:9" x14ac:dyDescent="0.25">
      <c r="A24" s="78">
        <v>2003</v>
      </c>
      <c r="B24" s="149">
        <v>16144</v>
      </c>
      <c r="C24" s="149">
        <v>1526</v>
      </c>
      <c r="D24" s="149">
        <v>144</v>
      </c>
      <c r="E24" s="149">
        <v>8</v>
      </c>
      <c r="F24" s="148">
        <v>356</v>
      </c>
      <c r="G24" s="148">
        <v>3804</v>
      </c>
      <c r="H24" s="148">
        <v>0</v>
      </c>
      <c r="I24" s="148">
        <f>SUM(B24:H24)</f>
        <v>21982</v>
      </c>
    </row>
    <row r="25" spans="1:9" x14ac:dyDescent="0.25">
      <c r="A25" s="78">
        <v>2004</v>
      </c>
      <c r="B25" s="149">
        <v>16646</v>
      </c>
      <c r="C25" s="149">
        <v>1596</v>
      </c>
      <c r="D25" s="149">
        <v>150</v>
      </c>
      <c r="E25" s="149">
        <v>8</v>
      </c>
      <c r="F25" s="148">
        <v>327</v>
      </c>
      <c r="G25" s="148">
        <v>3945</v>
      </c>
      <c r="H25" s="148">
        <v>0</v>
      </c>
      <c r="I25" s="148">
        <f t="shared" ref="I25:I35" si="0">SUM(B25:H25)</f>
        <v>22672</v>
      </c>
    </row>
    <row r="26" spans="1:9" x14ac:dyDescent="0.25">
      <c r="A26" s="78">
        <v>2005</v>
      </c>
      <c r="B26" s="149">
        <v>17301</v>
      </c>
      <c r="C26" s="149">
        <v>1660</v>
      </c>
      <c r="D26" s="149">
        <v>154</v>
      </c>
      <c r="E26" s="149">
        <v>8</v>
      </c>
      <c r="F26" s="148">
        <v>326</v>
      </c>
      <c r="G26" s="148">
        <v>4083</v>
      </c>
      <c r="H26" s="148">
        <v>1</v>
      </c>
      <c r="I26" s="148">
        <f t="shared" si="0"/>
        <v>23533</v>
      </c>
    </row>
    <row r="27" spans="1:9" x14ac:dyDescent="0.25">
      <c r="A27" s="78">
        <v>2006</v>
      </c>
      <c r="B27" s="149">
        <v>17913</v>
      </c>
      <c r="C27" s="149">
        <v>1572</v>
      </c>
      <c r="D27" s="149">
        <v>150</v>
      </c>
      <c r="E27" s="149">
        <v>9</v>
      </c>
      <c r="F27" s="148">
        <v>366</v>
      </c>
      <c r="G27" s="148">
        <v>4217</v>
      </c>
      <c r="H27" s="148">
        <v>67</v>
      </c>
      <c r="I27" s="148">
        <f t="shared" si="0"/>
        <v>24294</v>
      </c>
    </row>
    <row r="28" spans="1:9" x14ac:dyDescent="0.25">
      <c r="A28" s="78">
        <v>2007</v>
      </c>
      <c r="B28" s="149">
        <v>18284</v>
      </c>
      <c r="C28" s="149">
        <v>1501</v>
      </c>
      <c r="D28" s="149">
        <v>152</v>
      </c>
      <c r="E28" s="149">
        <v>10</v>
      </c>
      <c r="F28" s="148">
        <v>374</v>
      </c>
      <c r="G28" s="148">
        <v>4292</v>
      </c>
      <c r="H28" s="148">
        <v>134</v>
      </c>
      <c r="I28" s="148">
        <f t="shared" si="0"/>
        <v>24747</v>
      </c>
    </row>
    <row r="29" spans="1:9" x14ac:dyDescent="0.25">
      <c r="A29" s="78">
        <v>2008</v>
      </c>
      <c r="B29" s="149">
        <v>18499</v>
      </c>
      <c r="C29" s="149">
        <v>1542</v>
      </c>
      <c r="D29" s="149">
        <v>157</v>
      </c>
      <c r="E29" s="149">
        <v>10</v>
      </c>
      <c r="F29" s="148">
        <v>325</v>
      </c>
      <c r="G29" s="148">
        <v>4312</v>
      </c>
      <c r="H29" s="148">
        <v>136</v>
      </c>
      <c r="I29" s="148">
        <f t="shared" si="0"/>
        <v>24981</v>
      </c>
    </row>
    <row r="30" spans="1:9" x14ac:dyDescent="0.25">
      <c r="A30" s="78">
        <v>2009</v>
      </c>
      <c r="B30" s="149">
        <v>18698</v>
      </c>
      <c r="C30" s="149">
        <v>1548</v>
      </c>
      <c r="D30" s="149">
        <v>161</v>
      </c>
      <c r="E30" s="149">
        <v>10</v>
      </c>
      <c r="F30" s="148">
        <v>316</v>
      </c>
      <c r="G30" s="148">
        <v>4333</v>
      </c>
      <c r="H30" s="148">
        <v>136</v>
      </c>
      <c r="I30" s="148">
        <f t="shared" si="0"/>
        <v>25202</v>
      </c>
    </row>
    <row r="31" spans="1:9" x14ac:dyDescent="0.25">
      <c r="A31" s="78">
        <v>2010</v>
      </c>
      <c r="B31" s="149">
        <v>18867</v>
      </c>
      <c r="C31" s="149">
        <v>1606</v>
      </c>
      <c r="D31" s="149">
        <v>168</v>
      </c>
      <c r="E31" s="149">
        <v>11</v>
      </c>
      <c r="F31" s="148">
        <v>328</v>
      </c>
      <c r="G31" s="148">
        <v>4362</v>
      </c>
      <c r="H31" s="148">
        <v>138</v>
      </c>
      <c r="I31" s="148">
        <f t="shared" si="0"/>
        <v>25480</v>
      </c>
    </row>
    <row r="32" spans="1:9" x14ac:dyDescent="0.25">
      <c r="A32" s="78">
        <v>2011</v>
      </c>
      <c r="B32" s="149">
        <v>19136</v>
      </c>
      <c r="C32" s="149">
        <v>1708</v>
      </c>
      <c r="D32" s="149">
        <v>156</v>
      </c>
      <c r="E32" s="149">
        <v>12</v>
      </c>
      <c r="F32" s="148">
        <v>161</v>
      </c>
      <c r="G32" s="148">
        <v>4387</v>
      </c>
      <c r="H32" s="148">
        <v>144</v>
      </c>
      <c r="I32" s="148">
        <f t="shared" si="0"/>
        <v>25704</v>
      </c>
    </row>
    <row r="33" spans="1:9" x14ac:dyDescent="0.25">
      <c r="A33" s="78">
        <v>2012</v>
      </c>
      <c r="B33" s="149">
        <v>19194</v>
      </c>
      <c r="C33" s="149">
        <v>1710</v>
      </c>
      <c r="D33" s="149">
        <v>200</v>
      </c>
      <c r="E33" s="149">
        <v>12</v>
      </c>
      <c r="F33" s="148">
        <v>153</v>
      </c>
      <c r="G33" s="148">
        <v>4417</v>
      </c>
      <c r="H33" s="148">
        <v>151</v>
      </c>
      <c r="I33" s="148">
        <f t="shared" si="0"/>
        <v>25837</v>
      </c>
    </row>
    <row r="34" spans="1:9" x14ac:dyDescent="0.25">
      <c r="A34" s="78">
        <v>2013</v>
      </c>
      <c r="B34" s="149">
        <v>19511</v>
      </c>
      <c r="C34" s="149">
        <v>1710</v>
      </c>
      <c r="D34" s="149">
        <v>207</v>
      </c>
      <c r="E34" s="149">
        <v>13</v>
      </c>
      <c r="F34" s="148">
        <v>177</v>
      </c>
      <c r="G34" s="148">
        <v>4477</v>
      </c>
      <c r="H34" s="148">
        <v>146</v>
      </c>
      <c r="I34" s="148">
        <f t="shared" si="0"/>
        <v>26241</v>
      </c>
    </row>
    <row r="35" spans="1:9" x14ac:dyDescent="0.25">
      <c r="A35" s="78">
        <v>2014</v>
      </c>
      <c r="B35" s="149">
        <v>19623</v>
      </c>
      <c r="C35" s="149">
        <v>1701</v>
      </c>
      <c r="D35" s="149">
        <v>198</v>
      </c>
      <c r="E35" s="149">
        <v>13</v>
      </c>
      <c r="F35" s="148">
        <v>170</v>
      </c>
      <c r="G35" s="148">
        <v>4477</v>
      </c>
      <c r="H35" s="148">
        <v>147</v>
      </c>
      <c r="I35" s="148">
        <f t="shared" si="0"/>
        <v>26329</v>
      </c>
    </row>
    <row r="36" spans="1:9" x14ac:dyDescent="0.25">
      <c r="A36" s="1"/>
      <c r="B36" s="1"/>
      <c r="C36" s="1"/>
      <c r="D36" s="1"/>
      <c r="E36" s="1"/>
    </row>
    <row r="37" spans="1:9" x14ac:dyDescent="0.25">
      <c r="A37" s="1"/>
      <c r="B37" s="1"/>
      <c r="C37" s="1"/>
      <c r="D37" s="1"/>
      <c r="E37" s="1"/>
    </row>
    <row r="38" spans="1:9" x14ac:dyDescent="0.25">
      <c r="A38" s="21" t="s">
        <v>136</v>
      </c>
      <c r="B38" s="261" t="s">
        <v>137</v>
      </c>
      <c r="C38" s="261"/>
      <c r="D38" s="261"/>
      <c r="E38" s="261"/>
    </row>
    <row r="40" spans="1:9" ht="39.6" x14ac:dyDescent="0.25">
      <c r="A40" s="78" t="s">
        <v>99</v>
      </c>
      <c r="B40" s="78" t="s">
        <v>67</v>
      </c>
      <c r="C40" s="78" t="s">
        <v>132</v>
      </c>
      <c r="D40" s="147" t="s">
        <v>133</v>
      </c>
      <c r="E40" s="147" t="s">
        <v>134</v>
      </c>
      <c r="F40" s="78" t="s">
        <v>76</v>
      </c>
      <c r="G40" s="78" t="s">
        <v>71</v>
      </c>
      <c r="H40" s="147" t="s">
        <v>135</v>
      </c>
      <c r="I40" s="78" t="s">
        <v>11</v>
      </c>
    </row>
    <row r="41" spans="1:9" x14ac:dyDescent="0.25">
      <c r="A41" s="78">
        <v>2004</v>
      </c>
      <c r="B41" s="150">
        <f t="shared" ref="B41:H51" si="1">+B26/B25</f>
        <v>1.0393487925027034</v>
      </c>
      <c r="C41" s="150">
        <f t="shared" si="1"/>
        <v>1.0401002506265664</v>
      </c>
      <c r="D41" s="150">
        <f t="shared" si="1"/>
        <v>1.0266666666666666</v>
      </c>
      <c r="E41" s="150">
        <f t="shared" si="1"/>
        <v>1</v>
      </c>
      <c r="F41" s="150">
        <f t="shared" si="1"/>
        <v>0.99694189602446481</v>
      </c>
      <c r="G41" s="150">
        <f t="shared" si="1"/>
        <v>1.0349809885931558</v>
      </c>
      <c r="H41" s="150">
        <v>0</v>
      </c>
      <c r="I41" s="151">
        <f>+I26/I25</f>
        <v>1.0379763585038815</v>
      </c>
    </row>
    <row r="42" spans="1:9" x14ac:dyDescent="0.25">
      <c r="A42" s="78">
        <v>2005</v>
      </c>
      <c r="B42" s="150">
        <f t="shared" si="1"/>
        <v>1.0353736778220912</v>
      </c>
      <c r="C42" s="150">
        <f t="shared" si="1"/>
        <v>0.94698795180722894</v>
      </c>
      <c r="D42" s="150">
        <f t="shared" si="1"/>
        <v>0.97402597402597402</v>
      </c>
      <c r="E42" s="150">
        <f t="shared" si="1"/>
        <v>1.125</v>
      </c>
      <c r="F42" s="150">
        <f t="shared" si="1"/>
        <v>1.1226993865030674</v>
      </c>
      <c r="G42" s="150">
        <f t="shared" si="1"/>
        <v>1.0328190056331128</v>
      </c>
      <c r="H42" s="148">
        <v>0</v>
      </c>
      <c r="I42" s="151">
        <f t="shared" ref="I42:I51" si="2">+I27/I26</f>
        <v>1.0323375685208005</v>
      </c>
    </row>
    <row r="43" spans="1:9" x14ac:dyDescent="0.25">
      <c r="A43" s="78">
        <v>2006</v>
      </c>
      <c r="B43" s="150">
        <f t="shared" si="1"/>
        <v>1.0207112153184839</v>
      </c>
      <c r="C43" s="150">
        <f t="shared" si="1"/>
        <v>0.9548346055979644</v>
      </c>
      <c r="D43" s="150">
        <f t="shared" si="1"/>
        <v>1.0133333333333334</v>
      </c>
      <c r="E43" s="150">
        <f t="shared" si="1"/>
        <v>1.1111111111111112</v>
      </c>
      <c r="F43" s="150">
        <f t="shared" si="1"/>
        <v>1.0218579234972678</v>
      </c>
      <c r="G43" s="150">
        <f t="shared" si="1"/>
        <v>1.0177851553236898</v>
      </c>
      <c r="H43" s="151">
        <v>0</v>
      </c>
      <c r="I43" s="151">
        <f t="shared" si="2"/>
        <v>1.0186465794023216</v>
      </c>
    </row>
    <row r="44" spans="1:9" x14ac:dyDescent="0.25">
      <c r="A44" s="78">
        <v>2007</v>
      </c>
      <c r="B44" s="150">
        <f t="shared" si="1"/>
        <v>1.0117589148982717</v>
      </c>
      <c r="C44" s="150">
        <f t="shared" si="1"/>
        <v>1.0273151232511659</v>
      </c>
      <c r="D44" s="150">
        <f t="shared" si="1"/>
        <v>1.0328947368421053</v>
      </c>
      <c r="E44" s="150">
        <f t="shared" si="1"/>
        <v>1</v>
      </c>
      <c r="F44" s="150">
        <f t="shared" si="1"/>
        <v>0.86898395721925137</v>
      </c>
      <c r="G44" s="150">
        <f t="shared" si="1"/>
        <v>1.0046598322460392</v>
      </c>
      <c r="H44" s="151">
        <f>+H29/H28</f>
        <v>1.0149253731343284</v>
      </c>
      <c r="I44" s="151">
        <f t="shared" si="2"/>
        <v>1.0094556915989816</v>
      </c>
    </row>
    <row r="45" spans="1:9" x14ac:dyDescent="0.25">
      <c r="A45" s="78">
        <v>2008</v>
      </c>
      <c r="B45" s="150">
        <f t="shared" si="1"/>
        <v>1.0107573382344992</v>
      </c>
      <c r="C45" s="150">
        <f t="shared" si="1"/>
        <v>1.0038910505836576</v>
      </c>
      <c r="D45" s="150">
        <f t="shared" si="1"/>
        <v>1.0254777070063694</v>
      </c>
      <c r="E45" s="150">
        <f t="shared" si="1"/>
        <v>1</v>
      </c>
      <c r="F45" s="150">
        <f t="shared" si="1"/>
        <v>0.97230769230769232</v>
      </c>
      <c r="G45" s="150">
        <f t="shared" si="1"/>
        <v>1.0048701298701299</v>
      </c>
      <c r="H45" s="151">
        <f t="shared" si="1"/>
        <v>1</v>
      </c>
      <c r="I45" s="151">
        <f t="shared" si="2"/>
        <v>1.0088467235098675</v>
      </c>
    </row>
    <row r="46" spans="1:9" x14ac:dyDescent="0.25">
      <c r="A46" s="78">
        <v>2009</v>
      </c>
      <c r="B46" s="150">
        <f t="shared" si="1"/>
        <v>1.0090383998288588</v>
      </c>
      <c r="C46" s="150">
        <f t="shared" si="1"/>
        <v>1.0374677002583979</v>
      </c>
      <c r="D46" s="150">
        <f t="shared" si="1"/>
        <v>1.0434782608695652</v>
      </c>
      <c r="E46" s="150">
        <f t="shared" si="1"/>
        <v>1.1000000000000001</v>
      </c>
      <c r="F46" s="150">
        <f t="shared" si="1"/>
        <v>1.0379746835443038</v>
      </c>
      <c r="G46" s="150">
        <f t="shared" si="1"/>
        <v>1.0066928225248095</v>
      </c>
      <c r="H46" s="151">
        <f t="shared" si="1"/>
        <v>1.0147058823529411</v>
      </c>
      <c r="I46" s="151">
        <f t="shared" si="2"/>
        <v>1.0110308705658282</v>
      </c>
    </row>
    <row r="47" spans="1:9" x14ac:dyDescent="0.25">
      <c r="A47" s="78">
        <v>2010</v>
      </c>
      <c r="B47" s="150">
        <f t="shared" si="1"/>
        <v>1.0142576986272327</v>
      </c>
      <c r="C47" s="150">
        <f t="shared" si="1"/>
        <v>1.0635118306351183</v>
      </c>
      <c r="D47" s="150">
        <f t="shared" si="1"/>
        <v>0.9285714285714286</v>
      </c>
      <c r="E47" s="150">
        <f t="shared" si="1"/>
        <v>1.0909090909090908</v>
      </c>
      <c r="F47" s="150">
        <f t="shared" si="1"/>
        <v>0.49085365853658536</v>
      </c>
      <c r="G47" s="150">
        <f t="shared" si="1"/>
        <v>1.0057313159101329</v>
      </c>
      <c r="H47" s="151">
        <f t="shared" si="1"/>
        <v>1.0434782608695652</v>
      </c>
      <c r="I47" s="151">
        <f t="shared" si="2"/>
        <v>1.0087912087912088</v>
      </c>
    </row>
    <row r="48" spans="1:9" x14ac:dyDescent="0.25">
      <c r="A48" s="78">
        <v>2011</v>
      </c>
      <c r="B48" s="150">
        <f t="shared" si="1"/>
        <v>1.0030309364548495</v>
      </c>
      <c r="C48" s="150">
        <f t="shared" si="1"/>
        <v>1.0011709601873535</v>
      </c>
      <c r="D48" s="150">
        <f t="shared" si="1"/>
        <v>1.2820512820512822</v>
      </c>
      <c r="E48" s="150">
        <f t="shared" si="1"/>
        <v>1</v>
      </c>
      <c r="F48" s="150">
        <f t="shared" si="1"/>
        <v>0.9503105590062112</v>
      </c>
      <c r="G48" s="150">
        <f t="shared" si="1"/>
        <v>1.0068383861408707</v>
      </c>
      <c r="H48" s="151">
        <f t="shared" si="1"/>
        <v>1.0486111111111112</v>
      </c>
      <c r="I48" s="151">
        <f t="shared" si="2"/>
        <v>1.0051742919389979</v>
      </c>
    </row>
    <row r="49" spans="1:9" x14ac:dyDescent="0.25">
      <c r="A49" s="78">
        <v>2012</v>
      </c>
      <c r="B49" s="150">
        <f t="shared" si="1"/>
        <v>1.0165155777847243</v>
      </c>
      <c r="C49" s="150">
        <f t="shared" si="1"/>
        <v>1</v>
      </c>
      <c r="D49" s="150">
        <f t="shared" si="1"/>
        <v>1.0349999999999999</v>
      </c>
      <c r="E49" s="150">
        <f t="shared" si="1"/>
        <v>1.0833333333333333</v>
      </c>
      <c r="F49" s="150">
        <f t="shared" si="1"/>
        <v>1.1568627450980393</v>
      </c>
      <c r="G49" s="150">
        <f t="shared" si="1"/>
        <v>1.013583880461852</v>
      </c>
      <c r="H49" s="151">
        <f t="shared" si="1"/>
        <v>0.9668874172185431</v>
      </c>
      <c r="I49" s="151">
        <f t="shared" si="2"/>
        <v>1.015636490304602</v>
      </c>
    </row>
    <row r="50" spans="1:9" x14ac:dyDescent="0.25">
      <c r="A50" s="78">
        <v>2013</v>
      </c>
      <c r="B50" s="150">
        <f t="shared" si="1"/>
        <v>1.0057403515965353</v>
      </c>
      <c r="C50" s="150">
        <f t="shared" si="1"/>
        <v>0.99473684210526314</v>
      </c>
      <c r="D50" s="150">
        <f t="shared" si="1"/>
        <v>0.95652173913043481</v>
      </c>
      <c r="E50" s="150">
        <f t="shared" si="1"/>
        <v>1</v>
      </c>
      <c r="F50" s="150">
        <f t="shared" si="1"/>
        <v>0.96045197740112997</v>
      </c>
      <c r="G50" s="150">
        <f t="shared" si="1"/>
        <v>1</v>
      </c>
      <c r="H50" s="151">
        <f t="shared" si="1"/>
        <v>1.0068493150684932</v>
      </c>
      <c r="I50" s="151">
        <f t="shared" si="2"/>
        <v>1.0033535307343471</v>
      </c>
    </row>
    <row r="51" spans="1:9" x14ac:dyDescent="0.25">
      <c r="A51" s="78">
        <v>2014</v>
      </c>
      <c r="B51" s="150">
        <f t="shared" si="1"/>
        <v>0</v>
      </c>
      <c r="C51" s="150">
        <f t="shared" si="1"/>
        <v>0</v>
      </c>
      <c r="D51" s="150">
        <f t="shared" si="1"/>
        <v>0</v>
      </c>
      <c r="E51" s="150">
        <f t="shared" si="1"/>
        <v>0</v>
      </c>
      <c r="F51" s="150">
        <f t="shared" si="1"/>
        <v>0</v>
      </c>
      <c r="G51" s="150">
        <f t="shared" si="1"/>
        <v>0</v>
      </c>
      <c r="H51" s="151">
        <f t="shared" si="1"/>
        <v>0</v>
      </c>
      <c r="I51" s="151">
        <f t="shared" si="2"/>
        <v>0</v>
      </c>
    </row>
    <row r="54" spans="1:9" x14ac:dyDescent="0.25">
      <c r="A54" s="21" t="s">
        <v>138</v>
      </c>
      <c r="B54" s="261" t="s">
        <v>139</v>
      </c>
      <c r="C54" s="261"/>
      <c r="D54" s="261"/>
      <c r="E54" s="261"/>
    </row>
    <row r="56" spans="1:9" ht="39.6" x14ac:dyDescent="0.25">
      <c r="A56" s="78" t="s">
        <v>99</v>
      </c>
      <c r="B56" s="78" t="s">
        <v>67</v>
      </c>
      <c r="C56" s="78" t="s">
        <v>132</v>
      </c>
      <c r="D56" s="147" t="s">
        <v>133</v>
      </c>
      <c r="E56" s="147" t="s">
        <v>134</v>
      </c>
      <c r="F56" s="78" t="s">
        <v>76</v>
      </c>
      <c r="G56" s="78" t="s">
        <v>71</v>
      </c>
      <c r="H56" s="147" t="s">
        <v>135</v>
      </c>
      <c r="I56" s="78" t="s">
        <v>11</v>
      </c>
    </row>
    <row r="57" spans="1:9" x14ac:dyDescent="0.25">
      <c r="A57" s="31">
        <v>2015</v>
      </c>
      <c r="B57" s="152">
        <v>19788.072112379785</v>
      </c>
      <c r="C57" s="152">
        <v>1698.6730477105082</v>
      </c>
      <c r="D57" s="152">
        <v>214.37726250911015</v>
      </c>
      <c r="E57" s="152">
        <v>13.529836634907774</v>
      </c>
      <c r="F57" s="152">
        <v>173.11044382291075</v>
      </c>
      <c r="G57" s="152">
        <v>4507.4084484440209</v>
      </c>
      <c r="H57" s="152">
        <v>148.63171035408885</v>
      </c>
      <c r="I57" s="152">
        <v>26543.802861855336</v>
      </c>
    </row>
    <row r="58" spans="1:9" x14ac:dyDescent="0.25">
      <c r="A58" s="31">
        <v>2016</v>
      </c>
      <c r="B58" s="153">
        <v>19954.532840276337</v>
      </c>
      <c r="C58" s="153">
        <v>1696.3492786702566</v>
      </c>
      <c r="D58" s="153">
        <v>232.10914485302993</v>
      </c>
      <c r="E58" s="153">
        <v>13.941849152116717</v>
      </c>
      <c r="F58" s="153">
        <v>176.27779859155964</v>
      </c>
      <c r="G58" s="153">
        <v>4538.0234355828761</v>
      </c>
      <c r="H58" s="153">
        <v>149.81273106457181</v>
      </c>
      <c r="I58" s="153">
        <v>26761.04707819075</v>
      </c>
    </row>
    <row r="61" spans="1:9" x14ac:dyDescent="0.25">
      <c r="A61" s="21" t="s">
        <v>140</v>
      </c>
      <c r="B61" s="261" t="s">
        <v>141</v>
      </c>
      <c r="C61" s="261"/>
      <c r="D61" s="261"/>
      <c r="E61" s="261"/>
    </row>
    <row r="63" spans="1:9" ht="39.6" x14ac:dyDescent="0.25">
      <c r="A63" s="78" t="s">
        <v>99</v>
      </c>
      <c r="B63" s="78" t="s">
        <v>67</v>
      </c>
      <c r="C63" s="78" t="s">
        <v>132</v>
      </c>
      <c r="D63" s="147" t="s">
        <v>133</v>
      </c>
      <c r="E63" s="147" t="s">
        <v>134</v>
      </c>
      <c r="F63" s="78" t="s">
        <v>76</v>
      </c>
      <c r="G63" s="78" t="s">
        <v>71</v>
      </c>
      <c r="H63" s="147" t="s">
        <v>135</v>
      </c>
      <c r="I63" s="86"/>
    </row>
    <row r="64" spans="1:9" x14ac:dyDescent="0.25">
      <c r="A64" s="130">
        <v>2003</v>
      </c>
      <c r="B64" s="131">
        <v>11568.743616823709</v>
      </c>
      <c r="C64" s="131">
        <v>35323.852267365684</v>
      </c>
      <c r="D64" s="131">
        <v>666241.36188153329</v>
      </c>
      <c r="E64" s="131">
        <v>11718160.29125</v>
      </c>
      <c r="F64" s="131">
        <v>807.12970464135037</v>
      </c>
      <c r="G64" s="131">
        <v>620.21762061259358</v>
      </c>
      <c r="H64" s="131"/>
    </row>
    <row r="65" spans="1:8" x14ac:dyDescent="0.25">
      <c r="A65" s="130">
        <v>2004</v>
      </c>
      <c r="B65" s="131">
        <v>11269.026134206504</v>
      </c>
      <c r="C65" s="131">
        <v>32925.033966165407</v>
      </c>
      <c r="D65" s="131">
        <v>670178.73020000034</v>
      </c>
      <c r="E65" s="131">
        <v>11959473.506249998</v>
      </c>
      <c r="F65" s="131">
        <v>870.38257274119394</v>
      </c>
      <c r="G65" s="131">
        <v>620.53410646387817</v>
      </c>
      <c r="H65" s="131"/>
    </row>
    <row r="66" spans="1:8" x14ac:dyDescent="0.25">
      <c r="A66" s="130">
        <v>2005</v>
      </c>
      <c r="B66" s="131">
        <v>11794.205781746798</v>
      </c>
      <c r="C66" s="131">
        <v>32168.754415662686</v>
      </c>
      <c r="D66" s="131">
        <v>707383.30844155839</v>
      </c>
      <c r="E66" s="131">
        <v>11829695.171250001</v>
      </c>
      <c r="F66" s="131">
        <v>988.3040245775727</v>
      </c>
      <c r="G66" s="131">
        <v>603.85180749448944</v>
      </c>
      <c r="H66" s="131">
        <v>1409.7300000000002</v>
      </c>
    </row>
    <row r="67" spans="1:8" x14ac:dyDescent="0.25">
      <c r="A67" s="130">
        <v>2006</v>
      </c>
      <c r="B67" s="131">
        <v>11626.077567537614</v>
      </c>
      <c r="C67" s="131">
        <v>32814.592796691068</v>
      </c>
      <c r="D67" s="131">
        <v>742899.97039999976</v>
      </c>
      <c r="E67" s="131">
        <v>9959003.8100000005</v>
      </c>
      <c r="F67" s="131">
        <v>1004.1424076607386</v>
      </c>
      <c r="G67" s="131">
        <v>623.63805763073674</v>
      </c>
      <c r="H67" s="131">
        <v>12886.749774436088</v>
      </c>
    </row>
    <row r="68" spans="1:8" x14ac:dyDescent="0.25">
      <c r="A68" s="130">
        <v>2007</v>
      </c>
      <c r="B68" s="131">
        <v>11793.91185873064</v>
      </c>
      <c r="C68" s="131">
        <v>35772.652739507015</v>
      </c>
      <c r="D68" s="131">
        <v>757897.32633663388</v>
      </c>
      <c r="E68" s="131">
        <v>9822215.4929999989</v>
      </c>
      <c r="F68" s="131">
        <v>1267.7830522088354</v>
      </c>
      <c r="G68" s="131">
        <v>617.44724222299863</v>
      </c>
      <c r="H68" s="131">
        <v>6391.9930337078631</v>
      </c>
    </row>
    <row r="69" spans="1:8" x14ac:dyDescent="0.25">
      <c r="A69" s="130">
        <v>2008</v>
      </c>
      <c r="B69" s="131">
        <v>11674.260056317087</v>
      </c>
      <c r="C69" s="131">
        <v>35647.118936853309</v>
      </c>
      <c r="D69" s="131">
        <v>738614.6842038217</v>
      </c>
      <c r="E69" s="131">
        <v>9357734.6779999994</v>
      </c>
      <c r="F69" s="131">
        <v>1410.4519076923077</v>
      </c>
      <c r="G69" s="131">
        <v>619.31084541342909</v>
      </c>
      <c r="H69" s="131">
        <v>6308.2156617647015</v>
      </c>
    </row>
    <row r="70" spans="1:8" x14ac:dyDescent="0.25">
      <c r="A70" s="130">
        <v>2009</v>
      </c>
      <c r="B70" s="131">
        <v>11376.581655058022</v>
      </c>
      <c r="C70" s="131">
        <v>35174.711132581324</v>
      </c>
      <c r="D70" s="131">
        <v>747870.80060081067</v>
      </c>
      <c r="E70" s="131">
        <v>8843012.1568179168</v>
      </c>
      <c r="F70" s="131">
        <v>1681.7052297939783</v>
      </c>
      <c r="G70" s="131">
        <v>614.96208886324314</v>
      </c>
      <c r="H70" s="131">
        <v>6686.3280882352901</v>
      </c>
    </row>
    <row r="71" spans="1:8" x14ac:dyDescent="0.25">
      <c r="A71" s="130">
        <v>2010</v>
      </c>
      <c r="B71" s="131">
        <v>11580.479125182848</v>
      </c>
      <c r="C71" s="131">
        <v>36094.708325958411</v>
      </c>
      <c r="D71" s="131">
        <v>689431.41536268208</v>
      </c>
      <c r="E71" s="131">
        <v>9776788.7318800148</v>
      </c>
      <c r="F71" s="131">
        <v>1744.446656488549</v>
      </c>
      <c r="G71" s="131">
        <v>620.95668004127026</v>
      </c>
      <c r="H71" s="131">
        <v>6661.6471999999958</v>
      </c>
    </row>
    <row r="72" spans="1:8" x14ac:dyDescent="0.25">
      <c r="A72" s="130">
        <v>2011</v>
      </c>
      <c r="B72" s="131">
        <v>11093.869434000781</v>
      </c>
      <c r="C72" s="131">
        <v>34709.309664710905</v>
      </c>
      <c r="D72" s="131">
        <v>741525.52864023217</v>
      </c>
      <c r="E72" s="131">
        <v>9296934.3472140115</v>
      </c>
      <c r="F72" s="131">
        <v>2702.4534161490683</v>
      </c>
      <c r="G72" s="131">
        <v>625.30248461363124</v>
      </c>
      <c r="H72" s="131">
        <v>6192.395833333333</v>
      </c>
    </row>
    <row r="73" spans="1:8" x14ac:dyDescent="0.25">
      <c r="A73" s="130">
        <v>2012</v>
      </c>
      <c r="B73" s="131">
        <v>11363.735502128393</v>
      </c>
      <c r="C73" s="131">
        <v>34660.150735278512</v>
      </c>
      <c r="D73" s="131">
        <v>571186.16823065025</v>
      </c>
      <c r="E73" s="131">
        <v>9005677.284859525</v>
      </c>
      <c r="F73" s="131">
        <v>2872.1957516339871</v>
      </c>
      <c r="G73" s="131">
        <v>625.39358840842203</v>
      </c>
      <c r="H73" s="131">
        <v>5912.250596026488</v>
      </c>
    </row>
    <row r="74" spans="1:8" x14ac:dyDescent="0.25">
      <c r="A74" s="130">
        <v>2013</v>
      </c>
      <c r="B74" s="131">
        <v>10894.776970510969</v>
      </c>
      <c r="C74" s="131">
        <v>34653.438448728797</v>
      </c>
      <c r="D74" s="131">
        <v>568415.39512963733</v>
      </c>
      <c r="E74" s="131">
        <v>9109972.0771238022</v>
      </c>
      <c r="F74" s="131">
        <v>2507.5729350282486</v>
      </c>
      <c r="G74" s="131">
        <v>618.55064998883188</v>
      </c>
      <c r="H74" s="131">
        <v>6166.1972602739725</v>
      </c>
    </row>
    <row r="75" spans="1:8" x14ac:dyDescent="0.25">
      <c r="A75" s="130">
        <v>2014</v>
      </c>
      <c r="B75" s="131">
        <v>10625.25347517001</v>
      </c>
      <c r="C75" s="131">
        <v>31725.670439386417</v>
      </c>
      <c r="D75" s="131">
        <v>653722.21071626409</v>
      </c>
      <c r="E75" s="131">
        <v>9441106.1262757517</v>
      </c>
      <c r="F75" s="131">
        <v>2636.934197617647</v>
      </c>
      <c r="G75" s="131">
        <v>621.53294616930975</v>
      </c>
      <c r="H75" s="131">
        <v>6259.3991590939913</v>
      </c>
    </row>
    <row r="78" spans="1:8" x14ac:dyDescent="0.25">
      <c r="A78" s="21" t="s">
        <v>142</v>
      </c>
      <c r="B78" s="261" t="s">
        <v>143</v>
      </c>
      <c r="C78" s="261"/>
      <c r="D78" s="261"/>
      <c r="E78" s="261"/>
    </row>
    <row r="80" spans="1:8" x14ac:dyDescent="0.25">
      <c r="A80" s="130"/>
      <c r="B80" s="78" t="s">
        <v>67</v>
      </c>
      <c r="C80" s="78" t="s">
        <v>68</v>
      </c>
      <c r="D80" s="78" t="s">
        <v>80</v>
      </c>
      <c r="E80" s="78" t="s">
        <v>81</v>
      </c>
      <c r="F80" s="78" t="s">
        <v>76</v>
      </c>
      <c r="G80" s="78" t="s">
        <v>71</v>
      </c>
      <c r="H80" s="78" t="s">
        <v>69</v>
      </c>
    </row>
    <row r="81" spans="1:8" x14ac:dyDescent="0.25">
      <c r="A81" s="130">
        <v>2004</v>
      </c>
      <c r="B81" s="154">
        <v>0.97409247775347496</v>
      </c>
      <c r="C81" s="154">
        <v>0.93209069376002196</v>
      </c>
      <c r="D81" s="154">
        <v>1.0059098226915055</v>
      </c>
      <c r="E81" s="154">
        <v>1.0205930972953312</v>
      </c>
      <c r="F81" s="154">
        <v>1.0783676622680491</v>
      </c>
      <c r="G81" s="154">
        <v>1.0005102819409935</v>
      </c>
      <c r="H81" s="154"/>
    </row>
    <row r="82" spans="1:8" x14ac:dyDescent="0.25">
      <c r="A82" s="130">
        <v>2005</v>
      </c>
      <c r="B82" s="154">
        <v>1.0466038184032727</v>
      </c>
      <c r="C82" s="154">
        <v>0.97703025754567507</v>
      </c>
      <c r="D82" s="154">
        <v>1.0555144121486146</v>
      </c>
      <c r="E82" s="154">
        <v>0.98914849094885526</v>
      </c>
      <c r="F82" s="154">
        <v>1.1354823218311867</v>
      </c>
      <c r="G82" s="154">
        <v>0.97311622552956345</v>
      </c>
      <c r="H82" s="154"/>
    </row>
    <row r="83" spans="1:8" x14ac:dyDescent="0.25">
      <c r="A83" s="130">
        <v>2006</v>
      </c>
      <c r="B83" s="154">
        <v>0.98574484646779814</v>
      </c>
      <c r="C83" s="154">
        <v>1.0200765740781661</v>
      </c>
      <c r="D83" s="154">
        <v>1.050208510060392</v>
      </c>
      <c r="E83" s="154">
        <v>0.84186478737031301</v>
      </c>
      <c r="F83" s="154">
        <v>1.0160258206880577</v>
      </c>
      <c r="G83" s="154">
        <v>1.0327667316561404</v>
      </c>
      <c r="H83" s="154"/>
    </row>
    <row r="84" spans="1:8" x14ac:dyDescent="0.25">
      <c r="A84" s="130">
        <v>2007</v>
      </c>
      <c r="B84" s="154">
        <v>1.0144360202499985</v>
      </c>
      <c r="C84" s="154">
        <v>1.0901446487891275</v>
      </c>
      <c r="D84" s="154">
        <v>1.0201875845122985</v>
      </c>
      <c r="E84" s="154">
        <v>0.98626485945686149</v>
      </c>
      <c r="F84" s="154">
        <v>1.2625530428122014</v>
      </c>
      <c r="G84" s="154">
        <v>0.99007306348291568</v>
      </c>
      <c r="H84" s="154"/>
    </row>
    <row r="85" spans="1:8" x14ac:dyDescent="0.25">
      <c r="A85" s="130">
        <v>2008</v>
      </c>
      <c r="B85" s="154">
        <v>0.98985478237867452</v>
      </c>
      <c r="C85" s="154">
        <v>0.99649078854822892</v>
      </c>
      <c r="D85" s="154">
        <v>0.974557711892168</v>
      </c>
      <c r="E85" s="154">
        <v>0.95271119684443684</v>
      </c>
      <c r="F85" s="154">
        <v>1.1125341242217293</v>
      </c>
      <c r="G85" s="154">
        <v>1.0030182387465543</v>
      </c>
      <c r="H85" s="154">
        <v>0.98689338810268323</v>
      </c>
    </row>
    <row r="86" spans="1:8" x14ac:dyDescent="0.25">
      <c r="A86" s="130">
        <v>2009</v>
      </c>
      <c r="B86" s="154">
        <v>0.97450130459463358</v>
      </c>
      <c r="C86" s="154">
        <v>0.98674765820180799</v>
      </c>
      <c r="D86" s="154">
        <v>1.0125317253974804</v>
      </c>
      <c r="E86" s="154">
        <v>0.94499496524600202</v>
      </c>
      <c r="F86" s="154">
        <v>1.1923166047862477</v>
      </c>
      <c r="G86" s="154">
        <v>0.99297807137983696</v>
      </c>
      <c r="H86" s="154">
        <v>1.0599396797358087</v>
      </c>
    </row>
    <row r="87" spans="1:8" x14ac:dyDescent="0.25">
      <c r="A87" s="130">
        <v>2010</v>
      </c>
      <c r="B87" s="154">
        <v>1.0179225602476272</v>
      </c>
      <c r="C87" s="154">
        <v>1.0261550745906458</v>
      </c>
      <c r="D87" s="154">
        <v>0.92185898260611243</v>
      </c>
      <c r="E87" s="154">
        <v>1.1055948537108096</v>
      </c>
      <c r="F87" s="154">
        <v>1.0373082188144571</v>
      </c>
      <c r="G87" s="154">
        <v>1.0097479036294874</v>
      </c>
      <c r="H87" s="154">
        <v>0.99630875303909772</v>
      </c>
    </row>
    <row r="88" spans="1:8" x14ac:dyDescent="0.25">
      <c r="A88" s="130">
        <v>2011</v>
      </c>
      <c r="B88" s="154">
        <v>0.95798017630169641</v>
      </c>
      <c r="C88" s="154">
        <v>0.9616176795574447</v>
      </c>
      <c r="D88" s="154">
        <v>1.0755609798403885</v>
      </c>
      <c r="E88" s="154">
        <v>0.95091901872633278</v>
      </c>
      <c r="F88" s="154">
        <v>1.5491751531049514</v>
      </c>
      <c r="G88" s="154">
        <v>1.0069985632042353</v>
      </c>
      <c r="H88" s="154">
        <v>0.92955925875710399</v>
      </c>
    </row>
    <row r="89" spans="1:8" x14ac:dyDescent="0.25">
      <c r="A89" s="130">
        <v>2012</v>
      </c>
      <c r="B89" s="154">
        <v>1.0243256935493148</v>
      </c>
      <c r="C89" s="154">
        <v>0.99858369613491982</v>
      </c>
      <c r="D89" s="154">
        <v>0.7702852378906756</v>
      </c>
      <c r="E89" s="154">
        <v>0.96867170924555723</v>
      </c>
      <c r="F89" s="154">
        <v>1.06281045751634</v>
      </c>
      <c r="G89" s="154">
        <v>1.0001456955586017</v>
      </c>
      <c r="H89" s="154">
        <v>0.95475979817071155</v>
      </c>
    </row>
    <row r="90" spans="1:8" x14ac:dyDescent="0.25">
      <c r="A90" s="130">
        <v>2013</v>
      </c>
      <c r="B90" s="154">
        <v>0.95873200924734747</v>
      </c>
      <c r="C90" s="154">
        <v>0.99980633994926971</v>
      </c>
      <c r="D90" s="154">
        <v>0.99514908928975665</v>
      </c>
      <c r="E90" s="154">
        <v>1.0115810048445351</v>
      </c>
      <c r="F90" s="154">
        <v>0.87305084745762707</v>
      </c>
      <c r="G90" s="154">
        <v>0.98905818904059295</v>
      </c>
      <c r="H90" s="154">
        <v>1.0429526218692688</v>
      </c>
    </row>
    <row r="91" spans="1:8" x14ac:dyDescent="0.25">
      <c r="A91" s="130">
        <v>2014</v>
      </c>
      <c r="B91" s="154">
        <v>0.9752612195669097</v>
      </c>
      <c r="C91" s="154">
        <v>0.91551291472348018</v>
      </c>
      <c r="D91" s="154">
        <v>1.1500782989299068</v>
      </c>
      <c r="E91" s="154">
        <v>1.0363485251489921</v>
      </c>
      <c r="F91" s="154">
        <v>1.0515882352941177</v>
      </c>
      <c r="G91" s="154">
        <v>1.0048214259907926</v>
      </c>
      <c r="H91" s="154">
        <v>1.0151149719812691</v>
      </c>
    </row>
    <row r="92" spans="1:8" x14ac:dyDescent="0.25">
      <c r="A92" s="130"/>
      <c r="B92" s="154"/>
      <c r="C92" s="154"/>
      <c r="D92" s="154"/>
      <c r="E92" s="154"/>
      <c r="F92" s="154"/>
      <c r="G92" s="154"/>
      <c r="H92" s="154"/>
    </row>
    <row r="93" spans="1:8" x14ac:dyDescent="0.25">
      <c r="A93" s="130" t="s">
        <v>17</v>
      </c>
      <c r="B93" s="154">
        <v>0.99229588684515213</v>
      </c>
      <c r="C93" s="154">
        <v>0.99028096615249062</v>
      </c>
      <c r="D93" s="154">
        <v>0.99827698581006308</v>
      </c>
      <c r="E93" s="154">
        <v>0.98054923253305526</v>
      </c>
      <c r="F93" s="154">
        <v>1</v>
      </c>
      <c r="G93" s="154">
        <v>1.0001926097137768</v>
      </c>
      <c r="H93" s="154">
        <v>0.99700991935250738</v>
      </c>
    </row>
    <row r="96" spans="1:8" x14ac:dyDescent="0.25">
      <c r="A96" s="170" t="s">
        <v>144</v>
      </c>
      <c r="B96" s="261" t="s">
        <v>145</v>
      </c>
      <c r="C96" s="261"/>
      <c r="D96" s="261"/>
      <c r="E96" s="261"/>
    </row>
    <row r="98" spans="1:9" x14ac:dyDescent="0.25">
      <c r="A98" s="130"/>
      <c r="B98" s="78" t="s">
        <v>67</v>
      </c>
      <c r="C98" s="78" t="s">
        <v>68</v>
      </c>
      <c r="D98" s="78" t="s">
        <v>80</v>
      </c>
      <c r="E98" s="78" t="s">
        <v>81</v>
      </c>
      <c r="F98" s="78" t="s">
        <v>76</v>
      </c>
      <c r="G98" s="78" t="s">
        <v>71</v>
      </c>
      <c r="H98" s="78" t="s">
        <v>69</v>
      </c>
    </row>
    <row r="99" spans="1:9" x14ac:dyDescent="0.25">
      <c r="A99" s="131">
        <v>2015</v>
      </c>
      <c r="B99" s="131">
        <v>10543.39532009836</v>
      </c>
      <c r="C99" s="131">
        <v>31417.327574551091</v>
      </c>
      <c r="D99" s="131">
        <v>652595.838070923</v>
      </c>
      <c r="E99" s="131">
        <v>9257469.3663828149</v>
      </c>
      <c r="F99" s="131">
        <v>2636.934197617647</v>
      </c>
      <c r="G99" s="131">
        <v>621.65265945217425</v>
      </c>
      <c r="H99" s="131">
        <v>6240.6830508034527</v>
      </c>
    </row>
    <row r="100" spans="1:9" x14ac:dyDescent="0.25">
      <c r="A100" s="131">
        <v>2016</v>
      </c>
      <c r="B100" s="131">
        <v>10462.167809516028</v>
      </c>
      <c r="C100" s="131">
        <v>31111.98150445574</v>
      </c>
      <c r="D100" s="131">
        <v>651471.40618163301</v>
      </c>
      <c r="E100" s="131">
        <v>9077404.482404938</v>
      </c>
      <c r="F100" s="131">
        <v>2636.934197617647</v>
      </c>
      <c r="G100" s="131">
        <v>621.77239579297986</v>
      </c>
      <c r="H100" s="131">
        <v>6222.0229051861097</v>
      </c>
    </row>
    <row r="103" spans="1:9" x14ac:dyDescent="0.25">
      <c r="A103" s="21" t="s">
        <v>146</v>
      </c>
      <c r="B103" s="261" t="s">
        <v>147</v>
      </c>
      <c r="C103" s="261"/>
      <c r="D103" s="261"/>
      <c r="E103" s="261"/>
    </row>
    <row r="105" spans="1:9" x14ac:dyDescent="0.25">
      <c r="A105" s="131"/>
      <c r="B105" s="155" t="s">
        <v>67</v>
      </c>
      <c r="C105" s="155" t="s">
        <v>68</v>
      </c>
      <c r="D105" s="155" t="s">
        <v>80</v>
      </c>
      <c r="E105" s="155" t="s">
        <v>81</v>
      </c>
      <c r="F105" s="155" t="s">
        <v>76</v>
      </c>
      <c r="G105" s="155" t="s">
        <v>71</v>
      </c>
      <c r="H105" s="155" t="s">
        <v>69</v>
      </c>
      <c r="I105" s="155" t="s">
        <v>11</v>
      </c>
    </row>
    <row r="106" spans="1:9" x14ac:dyDescent="0.25">
      <c r="A106" s="156">
        <v>2015</v>
      </c>
      <c r="B106" s="131">
        <v>208633466.90343389</v>
      </c>
      <c r="C106" s="131">
        <v>53367767.581982091</v>
      </c>
      <c r="D106" s="131">
        <v>139901709.290483</v>
      </c>
      <c r="E106" s="131">
        <v>125252048.17982267</v>
      </c>
      <c r="F106" s="131">
        <v>456480.8492814019</v>
      </c>
      <c r="G106" s="131">
        <v>2802042.449212424</v>
      </c>
      <c r="H106" s="131">
        <v>927563.39561869029</v>
      </c>
      <c r="I106" s="131">
        <v>531341078.64983422</v>
      </c>
    </row>
    <row r="107" spans="1:9" x14ac:dyDescent="0.25">
      <c r="A107" s="156">
        <v>2016</v>
      </c>
      <c r="B107" s="131">
        <v>208767671.13546953</v>
      </c>
      <c r="C107" s="131">
        <v>52776787.383085862</v>
      </c>
      <c r="D107" s="131">
        <v>151212470.98501974</v>
      </c>
      <c r="E107" s="131">
        <v>126555803.98643777</v>
      </c>
      <c r="F107" s="131">
        <v>464832.95538683952</v>
      </c>
      <c r="G107" s="131">
        <v>2821617.7037070543</v>
      </c>
      <c r="H107" s="131">
        <v>932138.24417225237</v>
      </c>
      <c r="I107" s="131">
        <v>543531322.39327908</v>
      </c>
    </row>
    <row r="110" spans="1:9" x14ac:dyDescent="0.25">
      <c r="A110" s="21" t="s">
        <v>148</v>
      </c>
      <c r="B110" s="261" t="s">
        <v>149</v>
      </c>
      <c r="C110" s="261"/>
      <c r="D110" s="261"/>
      <c r="E110" s="261"/>
    </row>
    <row r="112" spans="1:9" x14ac:dyDescent="0.25">
      <c r="A112" s="130"/>
      <c r="B112" s="157">
        <v>0.8</v>
      </c>
      <c r="C112" s="157">
        <v>0.8</v>
      </c>
      <c r="D112" s="157">
        <v>0.6</v>
      </c>
      <c r="E112" s="157">
        <v>0.15140000000000001</v>
      </c>
      <c r="F112" s="157">
        <v>0</v>
      </c>
      <c r="G112" s="157">
        <v>0</v>
      </c>
      <c r="H112" s="157">
        <v>0</v>
      </c>
      <c r="I112" s="78"/>
    </row>
    <row r="113" spans="1:9" x14ac:dyDescent="0.25">
      <c r="A113" s="130"/>
      <c r="B113" s="130"/>
      <c r="C113" s="130"/>
      <c r="D113" s="130"/>
      <c r="E113" s="130"/>
      <c r="F113" s="130"/>
      <c r="G113" s="130"/>
      <c r="H113" s="130"/>
      <c r="I113" s="130"/>
    </row>
    <row r="114" spans="1:9" x14ac:dyDescent="0.25">
      <c r="A114" s="130"/>
      <c r="B114" s="78" t="s">
        <v>67</v>
      </c>
      <c r="C114" s="78" t="s">
        <v>68</v>
      </c>
      <c r="D114" s="78" t="s">
        <v>80</v>
      </c>
      <c r="E114" s="78" t="s">
        <v>81</v>
      </c>
      <c r="F114" s="78" t="s">
        <v>76</v>
      </c>
      <c r="G114" s="78" t="s">
        <v>71</v>
      </c>
      <c r="H114" s="78" t="s">
        <v>69</v>
      </c>
      <c r="I114" s="78" t="s">
        <v>25</v>
      </c>
    </row>
    <row r="115" spans="1:9" x14ac:dyDescent="0.25">
      <c r="A115" s="130">
        <v>2015</v>
      </c>
      <c r="B115" s="131">
        <v>166906773.52274713</v>
      </c>
      <c r="C115" s="131">
        <v>42694214.065585673</v>
      </c>
      <c r="D115" s="131">
        <v>83941025.574289799</v>
      </c>
      <c r="E115" s="131">
        <v>18963160.094425153</v>
      </c>
      <c r="F115" s="131">
        <v>0</v>
      </c>
      <c r="G115" s="131">
        <v>0</v>
      </c>
      <c r="H115" s="131">
        <v>0</v>
      </c>
      <c r="I115" s="131">
        <v>312505173.25704771</v>
      </c>
    </row>
    <row r="116" spans="1:9" x14ac:dyDescent="0.25">
      <c r="A116" s="130">
        <v>2016</v>
      </c>
      <c r="B116" s="131">
        <v>167014136.90837562</v>
      </c>
      <c r="C116" s="131">
        <v>42221429.906468689</v>
      </c>
      <c r="D116" s="131">
        <v>90727482.591011837</v>
      </c>
      <c r="E116" s="131">
        <v>19160548.72354668</v>
      </c>
      <c r="F116" s="131">
        <v>0</v>
      </c>
      <c r="G116" s="131">
        <v>0</v>
      </c>
      <c r="H116" s="131">
        <v>0</v>
      </c>
      <c r="I116" s="131">
        <v>319123598.12940282</v>
      </c>
    </row>
    <row r="119" spans="1:9" x14ac:dyDescent="0.25">
      <c r="A119" s="21" t="s">
        <v>150</v>
      </c>
      <c r="B119" s="261" t="s">
        <v>151</v>
      </c>
      <c r="C119" s="261"/>
      <c r="D119" s="261"/>
      <c r="E119" s="261"/>
    </row>
    <row r="121" spans="1:9" x14ac:dyDescent="0.25">
      <c r="A121" s="130"/>
      <c r="B121" s="78" t="s">
        <v>67</v>
      </c>
      <c r="C121" s="78" t="s">
        <v>68</v>
      </c>
      <c r="D121" s="78" t="s">
        <v>80</v>
      </c>
      <c r="E121" s="78" t="s">
        <v>81</v>
      </c>
      <c r="F121" s="78" t="s">
        <v>76</v>
      </c>
      <c r="G121" s="78" t="s">
        <v>71</v>
      </c>
      <c r="H121" s="78" t="s">
        <v>69</v>
      </c>
      <c r="I121" s="78" t="s">
        <v>25</v>
      </c>
    </row>
    <row r="122" spans="1:9" x14ac:dyDescent="0.25">
      <c r="A122" s="130">
        <v>2015</v>
      </c>
      <c r="B122" s="131">
        <v>203658189.94987321</v>
      </c>
      <c r="C122" s="131">
        <v>52095107.792282514</v>
      </c>
      <c r="D122" s="131">
        <v>137399534.92581531</v>
      </c>
      <c r="E122" s="131">
        <v>124686780.68711893</v>
      </c>
      <c r="F122" s="131">
        <v>456480.8492814019</v>
      </c>
      <c r="G122" s="131">
        <v>2802042.449212424</v>
      </c>
      <c r="H122" s="131">
        <v>927563.39561869029</v>
      </c>
      <c r="I122" s="131">
        <v>522025700.0492025</v>
      </c>
    </row>
    <row r="123" spans="1:9" x14ac:dyDescent="0.25">
      <c r="A123" s="130">
        <v>2016</v>
      </c>
      <c r="B123" s="131">
        <v>199954837.80577099</v>
      </c>
      <c r="C123" s="131">
        <v>50548889.603921287</v>
      </c>
      <c r="D123" s="131">
        <v>146425054.79799148</v>
      </c>
      <c r="E123" s="131">
        <v>125544759.49923474</v>
      </c>
      <c r="F123" s="131">
        <v>464832.95538683952</v>
      </c>
      <c r="G123" s="131">
        <v>2821617.7037070543</v>
      </c>
      <c r="H123" s="131">
        <v>932138.24417225237</v>
      </c>
      <c r="I123" s="131">
        <v>526692130.61018467</v>
      </c>
    </row>
    <row r="126" spans="1:9" x14ac:dyDescent="0.25">
      <c r="A126" s="21" t="s">
        <v>167</v>
      </c>
      <c r="B126" s="261" t="s">
        <v>155</v>
      </c>
      <c r="C126" s="261"/>
      <c r="D126" s="261"/>
      <c r="E126" s="80" t="s">
        <v>168</v>
      </c>
    </row>
    <row r="127" spans="1:9" ht="13.8" thickBot="1" x14ac:dyDescent="0.3"/>
    <row r="128" spans="1:9" x14ac:dyDescent="0.25">
      <c r="A128" s="262" t="s">
        <v>85</v>
      </c>
      <c r="B128" s="263"/>
      <c r="C128" s="263"/>
      <c r="D128" s="263"/>
      <c r="E128" s="263"/>
      <c r="F128" s="264"/>
    </row>
    <row r="129" spans="1:6" ht="13.8" thickBot="1" x14ac:dyDescent="0.3">
      <c r="A129" s="265">
        <f>22.48*1000000</f>
        <v>22480000</v>
      </c>
      <c r="B129" s="266"/>
      <c r="C129" s="266"/>
      <c r="D129" s="266"/>
      <c r="E129" s="266"/>
      <c r="F129" s="267"/>
    </row>
    <row r="130" spans="1:6" ht="13.8" thickBot="1" x14ac:dyDescent="0.3"/>
    <row r="131" spans="1:6" x14ac:dyDescent="0.25">
      <c r="A131" s="268" t="s">
        <v>98</v>
      </c>
      <c r="B131" s="269"/>
      <c r="C131" s="269"/>
      <c r="D131" s="269"/>
      <c r="E131" s="269"/>
      <c r="F131" s="270"/>
    </row>
    <row r="132" spans="1:6" ht="13.8" thickBot="1" x14ac:dyDescent="0.3">
      <c r="A132" s="271"/>
      <c r="B132" s="272"/>
      <c r="C132" s="272"/>
      <c r="D132" s="272"/>
      <c r="E132" s="272"/>
      <c r="F132" s="273"/>
    </row>
    <row r="133" spans="1:6" x14ac:dyDescent="0.25">
      <c r="A133" s="164" t="s">
        <v>152</v>
      </c>
      <c r="B133" s="145">
        <v>2011</v>
      </c>
      <c r="C133" s="145">
        <v>2012</v>
      </c>
      <c r="D133" s="145">
        <v>2013</v>
      </c>
      <c r="E133" s="145">
        <v>2014</v>
      </c>
      <c r="F133" s="146" t="s">
        <v>11</v>
      </c>
    </row>
    <row r="134" spans="1:6" x14ac:dyDescent="0.25">
      <c r="A134" s="94" t="s">
        <v>101</v>
      </c>
      <c r="B134" s="158">
        <v>9.1309845076240251E-2</v>
      </c>
      <c r="C134" s="159">
        <v>9.1236335435408489E-2</v>
      </c>
      <c r="D134" s="159">
        <v>9.1191470525673377E-2</v>
      </c>
      <c r="E134" s="159">
        <v>9.0082926312591086E-2</v>
      </c>
      <c r="F134" s="160">
        <f>SUM(B134:E134)</f>
        <v>0.36382057734991319</v>
      </c>
    </row>
    <row r="135" spans="1:6" x14ac:dyDescent="0.25">
      <c r="A135" s="94" t="s">
        <v>102</v>
      </c>
      <c r="B135" s="159"/>
      <c r="C135" s="159">
        <f>(100%-F134)/6</f>
        <v>0.10602990377501446</v>
      </c>
      <c r="D135" s="159">
        <f>C135</f>
        <v>0.10602990377501446</v>
      </c>
      <c r="E135" s="159">
        <f>D135</f>
        <v>0.10602990377501446</v>
      </c>
      <c r="F135" s="160">
        <f>SUM(B135:E135)</f>
        <v>0.31808971132504338</v>
      </c>
    </row>
    <row r="136" spans="1:6" x14ac:dyDescent="0.25">
      <c r="A136" s="94" t="s">
        <v>103</v>
      </c>
      <c r="B136" s="159"/>
      <c r="C136" s="159"/>
      <c r="D136" s="161">
        <f>(100%-SUM(B134:E135))/3</f>
        <v>0.10602990377501449</v>
      </c>
      <c r="E136" s="159">
        <f>+D136</f>
        <v>0.10602990377501449</v>
      </c>
      <c r="F136" s="160">
        <f>SUM(B136:E136)</f>
        <v>0.21205980755002898</v>
      </c>
    </row>
    <row r="137" spans="1:6" ht="13.8" thickBot="1" x14ac:dyDescent="0.3">
      <c r="A137" s="94" t="s">
        <v>104</v>
      </c>
      <c r="B137" s="159"/>
      <c r="C137" s="159"/>
      <c r="D137" s="159"/>
      <c r="E137" s="159">
        <f>+E136</f>
        <v>0.10602990377501449</v>
      </c>
      <c r="F137" s="160">
        <f>SUM(B137:E137)</f>
        <v>0.10602990377501449</v>
      </c>
    </row>
    <row r="138" spans="1:6" ht="13.8" thickBot="1" x14ac:dyDescent="0.3">
      <c r="A138" s="95" t="s">
        <v>105</v>
      </c>
      <c r="B138" s="162">
        <f>SUM(B134:B137)</f>
        <v>9.1309845076240251E-2</v>
      </c>
      <c r="C138" s="162">
        <f>SUM(C134:C137)</f>
        <v>0.19726623921042297</v>
      </c>
      <c r="D138" s="162">
        <f>SUM(D134:D137)</f>
        <v>0.30325127807570235</v>
      </c>
      <c r="E138" s="162">
        <f>SUM(E134:E137)</f>
        <v>0.40817263763763451</v>
      </c>
      <c r="F138" s="163">
        <f>SUM(F134:F137)</f>
        <v>1</v>
      </c>
    </row>
    <row r="139" spans="1:6" x14ac:dyDescent="0.25">
      <c r="A139" s="165" t="s">
        <v>153</v>
      </c>
      <c r="B139" s="90"/>
      <c r="C139" s="90"/>
      <c r="D139" s="90"/>
      <c r="E139" s="90"/>
      <c r="F139" s="92"/>
    </row>
    <row r="140" spans="1:6" x14ac:dyDescent="0.25">
      <c r="A140" s="94" t="s">
        <v>101</v>
      </c>
      <c r="B140" s="91">
        <v>1893374</v>
      </c>
      <c r="C140" s="91">
        <v>1893374</v>
      </c>
      <c r="D140" s="91">
        <v>1893374</v>
      </c>
      <c r="E140" s="91">
        <f>1.8*1000000</f>
        <v>1800000</v>
      </c>
      <c r="F140" s="93">
        <f>SUM(B140:E140)</f>
        <v>7480122</v>
      </c>
    </row>
    <row r="141" spans="1:6" x14ac:dyDescent="0.25">
      <c r="A141" s="94" t="s">
        <v>102</v>
      </c>
      <c r="B141" s="116"/>
      <c r="C141" s="91">
        <v>2111280</v>
      </c>
      <c r="D141" s="91">
        <f>+C141</f>
        <v>2111280</v>
      </c>
      <c r="E141" s="91">
        <f>+D141</f>
        <v>2111280</v>
      </c>
      <c r="F141" s="93">
        <f>SUM(B141:E141)</f>
        <v>6333840</v>
      </c>
    </row>
    <row r="142" spans="1:6" x14ac:dyDescent="0.25">
      <c r="A142" s="94" t="s">
        <v>103</v>
      </c>
      <c r="B142" s="91"/>
      <c r="C142" s="91"/>
      <c r="D142" s="91">
        <v>1235579</v>
      </c>
      <c r="E142" s="91">
        <f>+D142-50869</f>
        <v>1184710</v>
      </c>
      <c r="F142" s="93">
        <f>SUM(B142:E142)</f>
        <v>2420289</v>
      </c>
    </row>
    <row r="143" spans="1:6" ht="13.8" thickBot="1" x14ac:dyDescent="0.3">
      <c r="A143" s="94" t="s">
        <v>104</v>
      </c>
      <c r="B143" s="91"/>
      <c r="C143" s="91"/>
      <c r="D143" s="91"/>
      <c r="E143" s="91">
        <v>2247532</v>
      </c>
      <c r="F143" s="93">
        <f>SUM(B143:E143)</f>
        <v>2247532</v>
      </c>
    </row>
    <row r="144" spans="1:6" ht="13.8" thickBot="1" x14ac:dyDescent="0.3">
      <c r="A144" s="95" t="s">
        <v>105</v>
      </c>
      <c r="B144" s="96">
        <f>SUM(B140:B143)</f>
        <v>1893374</v>
      </c>
      <c r="C144" s="96">
        <f>SUM(C140:C143)</f>
        <v>4004654</v>
      </c>
      <c r="D144" s="96">
        <f>SUM(D140:D143)</f>
        <v>5240233</v>
      </c>
      <c r="E144" s="96">
        <f>SUM(E140:E143)</f>
        <v>7343522</v>
      </c>
      <c r="F144" s="97">
        <f>SUM(B144:E144)</f>
        <v>18481783</v>
      </c>
    </row>
    <row r="147" spans="1:6" x14ac:dyDescent="0.25">
      <c r="A147" s="172" t="s">
        <v>154</v>
      </c>
      <c r="B147" s="274" t="s">
        <v>156</v>
      </c>
      <c r="C147" s="274"/>
      <c r="D147" s="274"/>
      <c r="E147" s="173"/>
      <c r="F147" s="173"/>
    </row>
    <row r="148" spans="1:6" ht="13.8" thickBot="1" x14ac:dyDescent="0.3">
      <c r="A148" s="172"/>
      <c r="B148" s="174"/>
      <c r="C148" s="174"/>
      <c r="D148" s="174"/>
      <c r="E148" s="173"/>
      <c r="F148" s="173"/>
    </row>
    <row r="149" spans="1:6" ht="14.4" x14ac:dyDescent="0.3">
      <c r="A149" s="175" t="s">
        <v>158</v>
      </c>
      <c r="B149" s="176"/>
      <c r="C149" s="176"/>
      <c r="D149" s="176"/>
      <c r="E149" s="177" t="s">
        <v>8</v>
      </c>
      <c r="F149" s="178" t="s">
        <v>70</v>
      </c>
    </row>
    <row r="150" spans="1:6" x14ac:dyDescent="0.25">
      <c r="A150" s="179" t="s">
        <v>159</v>
      </c>
      <c r="B150" s="180"/>
      <c r="C150" s="180"/>
      <c r="D150" s="180"/>
      <c r="E150" s="181" t="e">
        <f>+Summary!#REF!/1000</f>
        <v>#REF!</v>
      </c>
      <c r="F150" s="182" t="e">
        <f>+Summary!#REF!/1000</f>
        <v>#REF!</v>
      </c>
    </row>
    <row r="151" spans="1:6" x14ac:dyDescent="0.25">
      <c r="A151" s="257" t="s">
        <v>160</v>
      </c>
      <c r="B151" s="258"/>
      <c r="C151" s="180"/>
      <c r="D151" s="180"/>
      <c r="E151" s="181"/>
      <c r="F151" s="182"/>
    </row>
    <row r="152" spans="1:6" x14ac:dyDescent="0.25">
      <c r="A152" s="179"/>
      <c r="B152" s="180" t="s">
        <v>161</v>
      </c>
      <c r="C152" s="180"/>
      <c r="D152" s="180"/>
      <c r="E152" s="181">
        <f>+F152*1.056</f>
        <v>5471.6073216575815</v>
      </c>
      <c r="F152" s="182">
        <v>5181.4463273272549</v>
      </c>
    </row>
    <row r="153" spans="1:6" x14ac:dyDescent="0.25">
      <c r="A153" s="179"/>
      <c r="B153" s="180" t="s">
        <v>162</v>
      </c>
      <c r="C153" s="180"/>
      <c r="D153" s="180"/>
      <c r="E153" s="181">
        <f>+F153*1.056</f>
        <v>7754.7169920000006</v>
      </c>
      <c r="F153" s="182">
        <v>7343.482</v>
      </c>
    </row>
    <row r="154" spans="1:6" x14ac:dyDescent="0.25">
      <c r="A154" s="183"/>
      <c r="B154" s="184" t="s">
        <v>163</v>
      </c>
      <c r="C154" s="184"/>
      <c r="D154" s="184"/>
      <c r="E154" s="185">
        <f>SUM(E152:E153)</f>
        <v>13226.324313657582</v>
      </c>
      <c r="F154" s="186">
        <f>SUM(F152:F153)</f>
        <v>12524.928327327256</v>
      </c>
    </row>
    <row r="155" spans="1:6" x14ac:dyDescent="0.25">
      <c r="A155" s="179" t="s">
        <v>164</v>
      </c>
      <c r="B155" s="180"/>
      <c r="C155" s="180"/>
      <c r="D155" s="180"/>
      <c r="E155" s="181">
        <f>+F155*1.056</f>
        <v>3111.6798239999998</v>
      </c>
      <c r="F155" s="182">
        <v>2946.6664999999998</v>
      </c>
    </row>
    <row r="156" spans="1:6" x14ac:dyDescent="0.25">
      <c r="A156" s="179"/>
      <c r="B156" s="180" t="s">
        <v>11</v>
      </c>
      <c r="C156" s="187"/>
      <c r="D156" s="187"/>
      <c r="E156" s="181">
        <f>+E154+E155</f>
        <v>16338.004137657583</v>
      </c>
      <c r="F156" s="182">
        <f>SUM(F154:F155)</f>
        <v>15471.594827327255</v>
      </c>
    </row>
    <row r="157" spans="1:6" ht="13.8" thickBot="1" x14ac:dyDescent="0.3">
      <c r="A157" s="188" t="s">
        <v>165</v>
      </c>
      <c r="B157" s="189"/>
      <c r="C157" s="190"/>
      <c r="D157" s="190"/>
      <c r="E157" s="191" t="e">
        <f>+E150-E156</f>
        <v>#REF!</v>
      </c>
      <c r="F157" s="192" t="e">
        <f>+F150-F156</f>
        <v>#REF!</v>
      </c>
    </row>
    <row r="158" spans="1:6" x14ac:dyDescent="0.25">
      <c r="A158" s="173"/>
      <c r="B158" s="173"/>
      <c r="C158" s="173"/>
      <c r="D158" s="173"/>
      <c r="E158" s="173"/>
      <c r="F158" s="173"/>
    </row>
    <row r="159" spans="1:6" x14ac:dyDescent="0.25">
      <c r="A159" s="193" t="s">
        <v>171</v>
      </c>
      <c r="B159" s="173"/>
      <c r="C159" s="173"/>
      <c r="D159" s="173"/>
      <c r="E159" s="194"/>
      <c r="F159" s="194"/>
    </row>
    <row r="160" spans="1:6" ht="13.8" thickBot="1" x14ac:dyDescent="0.3">
      <c r="A160" s="173"/>
      <c r="B160" s="173"/>
      <c r="C160" s="173"/>
      <c r="D160" s="173"/>
      <c r="E160" s="194"/>
      <c r="F160" s="194"/>
    </row>
    <row r="161" spans="1:6" ht="14.4" x14ac:dyDescent="0.3">
      <c r="A161" s="175" t="s">
        <v>166</v>
      </c>
      <c r="B161" s="176"/>
      <c r="C161" s="195" t="s">
        <v>169</v>
      </c>
      <c r="D161" s="196" t="s">
        <v>170</v>
      </c>
      <c r="E161" s="173"/>
      <c r="F161" s="173"/>
    </row>
    <row r="162" spans="1:6" x14ac:dyDescent="0.25">
      <c r="A162" s="257" t="s">
        <v>121</v>
      </c>
      <c r="B162" s="258"/>
      <c r="C162" s="197">
        <v>853241.42130607553</v>
      </c>
      <c r="D162" s="198"/>
      <c r="E162" s="173"/>
      <c r="F162" s="173"/>
    </row>
    <row r="163" spans="1:6" x14ac:dyDescent="0.25">
      <c r="A163" s="257" t="s">
        <v>122</v>
      </c>
      <c r="B163" s="258"/>
      <c r="C163" s="197">
        <v>92450.372735016397</v>
      </c>
      <c r="D163" s="198"/>
      <c r="E163" s="173"/>
      <c r="F163" s="173"/>
    </row>
    <row r="164" spans="1:6" x14ac:dyDescent="0.25">
      <c r="A164" s="257" t="s">
        <v>123</v>
      </c>
      <c r="B164" s="258"/>
      <c r="C164" s="197">
        <v>1074160.2937178696</v>
      </c>
      <c r="D164" s="182">
        <f>+C164*'Rate Class Load Model'!B28</f>
        <v>3031.4279361648469</v>
      </c>
      <c r="E164" s="173"/>
      <c r="F164" s="173"/>
    </row>
    <row r="165" spans="1:6" x14ac:dyDescent="0.25">
      <c r="A165" s="259" t="s">
        <v>124</v>
      </c>
      <c r="B165" s="260"/>
      <c r="C165" s="199">
        <v>926814.74557437142</v>
      </c>
      <c r="D165" s="200">
        <f>+C165*'Rate Class Load Model'!C28</f>
        <v>2473.2033373810959</v>
      </c>
      <c r="E165" s="173"/>
      <c r="F165" s="173"/>
    </row>
    <row r="166" spans="1:6" ht="13.8" thickBot="1" x14ac:dyDescent="0.3">
      <c r="A166" s="201" t="s">
        <v>125</v>
      </c>
      <c r="B166" s="190"/>
      <c r="C166" s="202">
        <f>SUM(C162:C165)</f>
        <v>2946666.833333333</v>
      </c>
      <c r="D166" s="203">
        <f>SUM(D162:D165)</f>
        <v>5504.6312735459433</v>
      </c>
      <c r="E166" s="173"/>
      <c r="F166" s="173"/>
    </row>
    <row r="169" spans="1:6" x14ac:dyDescent="0.25">
      <c r="A169" s="193" t="s">
        <v>172</v>
      </c>
      <c r="B169" s="173"/>
      <c r="C169" s="173"/>
      <c r="D169" s="173"/>
    </row>
    <row r="170" spans="1:6" ht="13.8" thickBot="1" x14ac:dyDescent="0.3">
      <c r="A170" s="173"/>
      <c r="B170" s="173"/>
      <c r="C170" s="173"/>
      <c r="D170" s="173"/>
    </row>
    <row r="171" spans="1:6" ht="14.4" x14ac:dyDescent="0.3">
      <c r="A171" s="175" t="s">
        <v>166</v>
      </c>
      <c r="B171" s="176"/>
      <c r="C171" s="195" t="s">
        <v>169</v>
      </c>
      <c r="D171" s="196" t="s">
        <v>170</v>
      </c>
    </row>
    <row r="172" spans="1:6" x14ac:dyDescent="0.25">
      <c r="A172" s="257" t="s">
        <v>121</v>
      </c>
      <c r="B172" s="258"/>
      <c r="C172" s="197">
        <v>1279862.0595687253</v>
      </c>
      <c r="D172" s="198"/>
    </row>
    <row r="173" spans="1:6" x14ac:dyDescent="0.25">
      <c r="A173" s="257" t="s">
        <v>122</v>
      </c>
      <c r="B173" s="258"/>
      <c r="C173" s="197">
        <v>138675.55125888481</v>
      </c>
      <c r="D173" s="198"/>
    </row>
    <row r="174" spans="1:6" x14ac:dyDescent="0.25">
      <c r="A174" s="257" t="s">
        <v>123</v>
      </c>
      <c r="B174" s="258"/>
      <c r="C174" s="197">
        <v>1611240.3494433004</v>
      </c>
      <c r="D174" s="182">
        <f>+C174*'Rate Class Load Model'!B28</f>
        <v>4547.1416470560007</v>
      </c>
    </row>
    <row r="175" spans="1:6" x14ac:dyDescent="0.25">
      <c r="A175" s="259" t="s">
        <v>124</v>
      </c>
      <c r="B175" s="260"/>
      <c r="C175" s="199">
        <v>1390222.0397290888</v>
      </c>
      <c r="D175" s="200">
        <f>+C175*'Rate Class Load Model'!C28</f>
        <v>3709.804796241056</v>
      </c>
    </row>
    <row r="176" spans="1:6" ht="13.8" thickBot="1" x14ac:dyDescent="0.3">
      <c r="A176" s="201" t="s">
        <v>125</v>
      </c>
      <c r="B176" s="190"/>
      <c r="C176" s="202">
        <f>SUM(C172:C175)</f>
        <v>4419999.9999999991</v>
      </c>
      <c r="D176" s="203">
        <f>SUM(D172:D175)</f>
        <v>8256.9464432970562</v>
      </c>
    </row>
    <row r="177" spans="1:6" x14ac:dyDescent="0.25">
      <c r="A177" s="173"/>
      <c r="B177" s="173"/>
      <c r="C177" s="173"/>
      <c r="D177" s="173"/>
    </row>
    <row r="179" spans="1:6" x14ac:dyDescent="0.25">
      <c r="A179" s="80" t="s">
        <v>173</v>
      </c>
    </row>
    <row r="181" spans="1:6" ht="26.4" x14ac:dyDescent="0.25">
      <c r="A181" s="130"/>
      <c r="B181" s="147" t="s">
        <v>80</v>
      </c>
      <c r="C181" s="147" t="s">
        <v>81</v>
      </c>
      <c r="D181" s="147" t="s">
        <v>76</v>
      </c>
      <c r="E181" s="147" t="s">
        <v>71</v>
      </c>
      <c r="F181" s="147" t="s">
        <v>11</v>
      </c>
    </row>
    <row r="182" spans="1:6" x14ac:dyDescent="0.25">
      <c r="A182" s="130">
        <v>2003</v>
      </c>
      <c r="B182" s="131">
        <v>292864.41000000003</v>
      </c>
      <c r="C182" s="131">
        <v>235859</v>
      </c>
      <c r="D182" s="131">
        <v>1090.8200000000006</v>
      </c>
      <c r="E182" s="131">
        <v>6764</v>
      </c>
      <c r="F182" s="131">
        <v>536578.23</v>
      </c>
    </row>
    <row r="183" spans="1:6" x14ac:dyDescent="0.25">
      <c r="A183" s="130">
        <v>2004</v>
      </c>
      <c r="B183" s="131">
        <v>298046.73</v>
      </c>
      <c r="C183" s="131">
        <v>236202.55</v>
      </c>
      <c r="D183" s="131">
        <v>1155.1400000000012</v>
      </c>
      <c r="E183" s="131">
        <v>6796</v>
      </c>
      <c r="F183" s="131">
        <v>542200.42000000004</v>
      </c>
    </row>
    <row r="184" spans="1:6" x14ac:dyDescent="0.25">
      <c r="A184" s="130">
        <v>2005</v>
      </c>
      <c r="B184" s="131">
        <v>276911.94999999995</v>
      </c>
      <c r="C184" s="131">
        <v>235749.59</v>
      </c>
      <c r="D184" s="131">
        <v>806.75000000000068</v>
      </c>
      <c r="E184" s="131">
        <v>6855.37</v>
      </c>
      <c r="F184" s="131">
        <v>520323.65999999992</v>
      </c>
    </row>
    <row r="185" spans="1:6" x14ac:dyDescent="0.25">
      <c r="A185" s="130">
        <v>2006</v>
      </c>
      <c r="B185" s="131">
        <v>299829.52599999995</v>
      </c>
      <c r="C185" s="131">
        <v>250935.3768</v>
      </c>
      <c r="D185" s="131">
        <v>643.70999999999981</v>
      </c>
      <c r="E185" s="131">
        <v>7431.4600000000009</v>
      </c>
      <c r="F185" s="131">
        <v>558840.07279999985</v>
      </c>
    </row>
    <row r="186" spans="1:6" x14ac:dyDescent="0.25">
      <c r="A186" s="130">
        <v>2007</v>
      </c>
      <c r="B186" s="131">
        <v>322163.37</v>
      </c>
      <c r="C186" s="131">
        <v>282975.62</v>
      </c>
      <c r="D186" s="131">
        <v>635.96999999999991</v>
      </c>
      <c r="E186" s="131">
        <v>7477.1900000000014</v>
      </c>
      <c r="F186" s="131">
        <v>613252.14999999991</v>
      </c>
    </row>
    <row r="187" spans="1:6" x14ac:dyDescent="0.25">
      <c r="A187" s="130">
        <v>2008</v>
      </c>
      <c r="B187" s="131">
        <v>322746.80000000005</v>
      </c>
      <c r="C187" s="131">
        <v>265624.51</v>
      </c>
      <c r="D187" s="131">
        <v>627.91999999999996</v>
      </c>
      <c r="E187" s="131">
        <v>7513.5100000000011</v>
      </c>
      <c r="F187" s="131">
        <v>596512.74000000011</v>
      </c>
    </row>
    <row r="188" spans="1:6" x14ac:dyDescent="0.25">
      <c r="A188" s="130">
        <v>2009</v>
      </c>
      <c r="B188" s="131">
        <v>330063.74999999994</v>
      </c>
      <c r="C188" s="131">
        <v>257988.3</v>
      </c>
      <c r="D188" s="131">
        <v>615.68000000000006</v>
      </c>
      <c r="E188" s="131">
        <v>7542.3500000000013</v>
      </c>
      <c r="F188" s="131">
        <v>596210.07999999996</v>
      </c>
    </row>
    <row r="189" spans="1:6" x14ac:dyDescent="0.25">
      <c r="A189" s="130">
        <v>2010</v>
      </c>
      <c r="B189" s="131">
        <v>320892.79120000004</v>
      </c>
      <c r="C189" s="131">
        <v>285634.91000000003</v>
      </c>
      <c r="D189" s="131">
        <v>585.82999999999993</v>
      </c>
      <c r="E189" s="131">
        <v>7569.3000000000011</v>
      </c>
      <c r="F189" s="131">
        <v>614682.83120000002</v>
      </c>
    </row>
    <row r="190" spans="1:6" x14ac:dyDescent="0.25">
      <c r="A190" s="130">
        <v>2011</v>
      </c>
      <c r="B190" s="131">
        <v>318710.76</v>
      </c>
      <c r="C190" s="131">
        <v>294618.27999999997</v>
      </c>
      <c r="D190" s="131">
        <v>530.20999999999992</v>
      </c>
      <c r="E190" s="131">
        <v>7634.1600000000008</v>
      </c>
      <c r="F190" s="131">
        <v>621493.41</v>
      </c>
    </row>
    <row r="191" spans="1:6" x14ac:dyDescent="0.25">
      <c r="A191" s="130">
        <v>2012</v>
      </c>
      <c r="B191" s="131">
        <v>313359.68</v>
      </c>
      <c r="C191" s="131">
        <v>289208.77999999997</v>
      </c>
      <c r="D191" s="131">
        <v>649.59999999999991</v>
      </c>
      <c r="E191" s="131">
        <v>7680.7800000000007</v>
      </c>
      <c r="F191" s="131">
        <v>610898.84</v>
      </c>
    </row>
    <row r="192" spans="1:6" x14ac:dyDescent="0.25">
      <c r="A192" s="130">
        <v>2013</v>
      </c>
      <c r="B192" s="131">
        <v>321135.30999999994</v>
      </c>
      <c r="C192" s="131">
        <v>296491.61</v>
      </c>
      <c r="D192" s="131">
        <v>675.93</v>
      </c>
      <c r="E192" s="131">
        <v>7730.8799999999992</v>
      </c>
      <c r="F192" s="131">
        <v>626033.73</v>
      </c>
    </row>
    <row r="193" spans="1:6" x14ac:dyDescent="0.25">
      <c r="A193" s="130">
        <v>2014</v>
      </c>
      <c r="B193" s="131">
        <v>362945.97000000003</v>
      </c>
      <c r="C193" s="131">
        <v>307814.96999999991</v>
      </c>
      <c r="D193" s="131">
        <v>703.32722429187197</v>
      </c>
      <c r="E193" s="131">
        <v>7764.2099999999982</v>
      </c>
      <c r="F193" s="131">
        <v>679228.47722429177</v>
      </c>
    </row>
    <row r="194" spans="1:6" x14ac:dyDescent="0.25">
      <c r="A194" s="104"/>
      <c r="B194" s="169"/>
      <c r="C194" s="169"/>
      <c r="D194" s="169"/>
      <c r="E194" s="169"/>
      <c r="F194" s="169"/>
    </row>
    <row r="195" spans="1:6" x14ac:dyDescent="0.25">
      <c r="A195" s="104"/>
      <c r="B195" s="169"/>
      <c r="C195" s="169"/>
      <c r="D195" s="169"/>
      <c r="E195" s="169"/>
      <c r="F195" s="169"/>
    </row>
    <row r="198" spans="1:6" x14ac:dyDescent="0.25">
      <c r="A198" s="80" t="s">
        <v>174</v>
      </c>
    </row>
    <row r="200" spans="1:6" ht="26.4" x14ac:dyDescent="0.25">
      <c r="A200" s="78"/>
      <c r="B200" s="147" t="s">
        <v>80</v>
      </c>
      <c r="C200" s="147" t="s">
        <v>81</v>
      </c>
      <c r="D200" s="147" t="s">
        <v>76</v>
      </c>
      <c r="E200" s="147" t="s">
        <v>71</v>
      </c>
    </row>
    <row r="201" spans="1:6" x14ac:dyDescent="0.25">
      <c r="A201" s="130">
        <v>2003</v>
      </c>
      <c r="B201" s="168">
        <v>3.0632546782708003E-3</v>
      </c>
      <c r="C201" s="168">
        <v>2.5159559407985413E-3</v>
      </c>
      <c r="D201" s="168">
        <v>3.8016327134603959E-3</v>
      </c>
      <c r="E201" s="168">
        <v>2.8673194308979667E-3</v>
      </c>
    </row>
    <row r="202" spans="1:6" x14ac:dyDescent="0.25">
      <c r="A202" s="130">
        <v>2004</v>
      </c>
      <c r="B202" s="168">
        <v>2.9648481971473939E-3</v>
      </c>
      <c r="C202" s="168">
        <v>2.4687808150225111E-3</v>
      </c>
      <c r="D202" s="168">
        <v>4.0648193603833628E-3</v>
      </c>
      <c r="E202" s="168">
        <v>2.7761357958507515E-3</v>
      </c>
    </row>
    <row r="203" spans="1:6" x14ac:dyDescent="0.25">
      <c r="A203" s="130">
        <v>2005</v>
      </c>
      <c r="B203" s="168">
        <v>2.5419451151823444E-3</v>
      </c>
      <c r="C203" s="168">
        <v>2.4910784532824232E-3</v>
      </c>
      <c r="D203" s="168">
        <v>2.5078260960389081E-3</v>
      </c>
      <c r="E203" s="168">
        <v>2.7804887939309594E-3</v>
      </c>
    </row>
    <row r="204" spans="1:6" x14ac:dyDescent="0.25">
      <c r="A204" s="130">
        <v>2006</v>
      </c>
      <c r="B204" s="168">
        <v>2.6906226764155305E-3</v>
      </c>
      <c r="C204" s="168">
        <v>2.799648344881328E-3</v>
      </c>
      <c r="D204" s="168">
        <v>1.7539110559936324E-3</v>
      </c>
      <c r="E204" s="168">
        <v>2.826112393811388E-3</v>
      </c>
    </row>
    <row r="205" spans="1:6" x14ac:dyDescent="0.25">
      <c r="A205" s="130">
        <v>2007</v>
      </c>
      <c r="B205" s="168">
        <v>2.805777005927304E-3</v>
      </c>
      <c r="C205" s="168">
        <v>2.8809754805488468E-3</v>
      </c>
      <c r="D205" s="168">
        <v>1.3430775247611506E-3</v>
      </c>
      <c r="E205" s="168">
        <v>2.821820891015782E-3</v>
      </c>
    </row>
    <row r="206" spans="1:6" x14ac:dyDescent="0.25">
      <c r="A206" s="130">
        <v>2008</v>
      </c>
      <c r="B206" s="168">
        <v>2.783199611211022E-3</v>
      </c>
      <c r="C206" s="168">
        <v>2.8385556883171979E-3</v>
      </c>
      <c r="D206" s="168">
        <v>1.369817381170164E-3</v>
      </c>
      <c r="E206" s="168">
        <v>2.8138814265463645E-3</v>
      </c>
    </row>
    <row r="207" spans="1:6" x14ac:dyDescent="0.25">
      <c r="A207" s="130">
        <v>2009</v>
      </c>
      <c r="B207" s="168">
        <v>2.7497690255652856E-3</v>
      </c>
      <c r="C207" s="168">
        <v>2.9174255946385003E-3</v>
      </c>
      <c r="D207" s="168">
        <v>1.1603948901009844E-3</v>
      </c>
      <c r="E207" s="168">
        <v>2.8308689645672692E-3</v>
      </c>
    </row>
    <row r="208" spans="1:6" x14ac:dyDescent="0.25">
      <c r="A208" s="130">
        <v>2010</v>
      </c>
      <c r="B208" s="168">
        <v>2.7705092856704608E-3</v>
      </c>
      <c r="C208" s="168">
        <v>2.6559651345771443E-3</v>
      </c>
      <c r="D208" s="168">
        <v>1.0254219505516373E-3</v>
      </c>
      <c r="E208" s="168">
        <v>2.7948502179165687E-3</v>
      </c>
    </row>
    <row r="209" spans="1:5" x14ac:dyDescent="0.25">
      <c r="A209" s="130">
        <v>2011</v>
      </c>
      <c r="B209" s="168">
        <v>2.7551548981112808E-3</v>
      </c>
      <c r="C209" s="168">
        <v>2.6408192654055499E-3</v>
      </c>
      <c r="D209" s="168">
        <v>1.2186074305611417E-3</v>
      </c>
      <c r="E209" s="168">
        <v>2.7829376035742176E-3</v>
      </c>
    </row>
    <row r="210" spans="1:5" x14ac:dyDescent="0.25">
      <c r="A210" s="130">
        <v>2012</v>
      </c>
      <c r="B210" s="168">
        <v>2.743060821751749E-3</v>
      </c>
      <c r="C210" s="168">
        <v>2.6761709202244195E-3</v>
      </c>
      <c r="D210" s="168">
        <v>1.4782250240331033E-3</v>
      </c>
      <c r="E210" s="168">
        <v>2.7805102607278897E-3</v>
      </c>
    </row>
    <row r="211" spans="1:5" x14ac:dyDescent="0.25">
      <c r="A211" s="130">
        <v>2013</v>
      </c>
      <c r="B211" s="168">
        <v>2.7293038198321915E-3</v>
      </c>
      <c r="C211" s="168">
        <v>2.5035254477176793E-3</v>
      </c>
      <c r="D211" s="168">
        <v>1.5229122574969144E-3</v>
      </c>
      <c r="E211" s="168">
        <v>2.7916860097411309E-3</v>
      </c>
    </row>
    <row r="212" spans="1:5" x14ac:dyDescent="0.25">
      <c r="A212" s="130">
        <v>2014</v>
      </c>
      <c r="B212" s="168">
        <v>2.8039863470678919E-3</v>
      </c>
      <c r="C212" s="168">
        <v>2.4831058707269573E-3</v>
      </c>
      <c r="D212" s="168">
        <v>1.5689504008710455E-3</v>
      </c>
      <c r="E212" s="168">
        <v>2.7902686800812039E-3</v>
      </c>
    </row>
    <row r="213" spans="1:5" x14ac:dyDescent="0.25">
      <c r="A213" s="130"/>
      <c r="B213" s="130"/>
      <c r="C213" s="130"/>
      <c r="D213" s="130"/>
      <c r="E213" s="130"/>
    </row>
    <row r="214" spans="1:5" x14ac:dyDescent="0.25">
      <c r="A214" s="78" t="s">
        <v>16</v>
      </c>
      <c r="B214" s="168">
        <v>2.7962406994237674E-3</v>
      </c>
      <c r="C214" s="168">
        <v>2.6960481815083114E-3</v>
      </c>
      <c r="D214" s="168">
        <v>2.1283626215575294E-3</v>
      </c>
      <c r="E214" s="168">
        <v>2.8139347393171315E-3</v>
      </c>
    </row>
  </sheetData>
  <mergeCells count="24">
    <mergeCell ref="B119:E119"/>
    <mergeCell ref="B147:D147"/>
    <mergeCell ref="A151:B151"/>
    <mergeCell ref="B1:E1"/>
    <mergeCell ref="B21:E21"/>
    <mergeCell ref="B38:E38"/>
    <mergeCell ref="B54:E54"/>
    <mergeCell ref="B61:E61"/>
    <mergeCell ref="A172:B172"/>
    <mergeCell ref="A173:B173"/>
    <mergeCell ref="A174:B174"/>
    <mergeCell ref="A175:B175"/>
    <mergeCell ref="B78:E78"/>
    <mergeCell ref="A162:B162"/>
    <mergeCell ref="A163:B163"/>
    <mergeCell ref="A164:B164"/>
    <mergeCell ref="A165:B165"/>
    <mergeCell ref="B126:D126"/>
    <mergeCell ref="A128:F128"/>
    <mergeCell ref="A129:F129"/>
    <mergeCell ref="A131:F132"/>
    <mergeCell ref="B96:E96"/>
    <mergeCell ref="B103:E103"/>
    <mergeCell ref="B110:E110"/>
  </mergeCells>
  <pageMargins left="0.7" right="0.7" top="0.75" bottom="0.75" header="0.3" footer="0.3"/>
  <pageSetup orientation="portrait" r:id="rId1"/>
  <ignoredErrors>
    <ignoredError sqref="E154" formula="1"/>
    <ignoredError sqref="I24:I35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2:K223"/>
  <sheetViews>
    <sheetView view="pageBreakPreview" topLeftCell="A223" zoomScaleNormal="100" zoomScaleSheetLayoutView="100" workbookViewId="0">
      <selection activeCell="K30" sqref="K30"/>
    </sheetView>
  </sheetViews>
  <sheetFormatPr defaultColWidth="9.33203125" defaultRowHeight="13.2" x14ac:dyDescent="0.25"/>
  <cols>
    <col min="3" max="3" width="14" bestFit="1" customWidth="1"/>
    <col min="4" max="5" width="12.6640625" bestFit="1" customWidth="1"/>
    <col min="6" max="6" width="10.6640625" style="32" bestFit="1" customWidth="1"/>
    <col min="7" max="7" width="13.5546875" bestFit="1" customWidth="1"/>
    <col min="8" max="8" width="10.33203125" bestFit="1" customWidth="1"/>
    <col min="9" max="9" width="15" bestFit="1" customWidth="1"/>
    <col min="10" max="10" width="11.88671875" customWidth="1"/>
    <col min="11" max="11" width="12.33203125" bestFit="1" customWidth="1"/>
  </cols>
  <sheetData>
    <row r="2" spans="1:11" ht="39.6" x14ac:dyDescent="0.25">
      <c r="A2" s="119" t="s">
        <v>83</v>
      </c>
      <c r="B2" s="236"/>
      <c r="C2" s="120" t="s">
        <v>0</v>
      </c>
      <c r="D2" s="121" t="s">
        <v>113</v>
      </c>
      <c r="E2" s="121"/>
      <c r="F2" s="107" t="s">
        <v>1</v>
      </c>
    </row>
    <row r="3" spans="1:11" x14ac:dyDescent="0.25">
      <c r="A3" s="75">
        <v>37622</v>
      </c>
      <c r="B3" s="142">
        <f>YEAR(A3)</f>
        <v>2003</v>
      </c>
      <c r="C3" s="70">
        <v>42639100</v>
      </c>
    </row>
    <row r="4" spans="1:11" x14ac:dyDescent="0.25">
      <c r="A4" s="75">
        <v>37653</v>
      </c>
      <c r="B4" s="142">
        <f t="shared" ref="B4:B67" si="0">YEAR(A4)</f>
        <v>2003</v>
      </c>
      <c r="C4" s="70">
        <v>38371356</v>
      </c>
    </row>
    <row r="5" spans="1:11" x14ac:dyDescent="0.25">
      <c r="A5" s="75">
        <v>37681</v>
      </c>
      <c r="B5" s="142">
        <f t="shared" si="0"/>
        <v>2003</v>
      </c>
      <c r="C5" s="70">
        <v>39445493</v>
      </c>
    </row>
    <row r="6" spans="1:11" x14ac:dyDescent="0.25">
      <c r="A6" s="75">
        <v>37712</v>
      </c>
      <c r="B6" s="142">
        <f t="shared" si="0"/>
        <v>2003</v>
      </c>
      <c r="C6" s="70">
        <v>36194811</v>
      </c>
    </row>
    <row r="7" spans="1:11" x14ac:dyDescent="0.25">
      <c r="A7" s="75">
        <v>37742</v>
      </c>
      <c r="B7" s="142">
        <f t="shared" si="0"/>
        <v>2003</v>
      </c>
      <c r="C7" s="70">
        <v>35263889</v>
      </c>
    </row>
    <row r="8" spans="1:11" x14ac:dyDescent="0.25">
      <c r="A8" s="75">
        <v>37773</v>
      </c>
      <c r="B8" s="142">
        <f t="shared" si="0"/>
        <v>2003</v>
      </c>
      <c r="C8" s="70">
        <v>37162377</v>
      </c>
    </row>
    <row r="9" spans="1:11" x14ac:dyDescent="0.25">
      <c r="A9" s="75">
        <v>37803</v>
      </c>
      <c r="B9" s="142">
        <f t="shared" si="0"/>
        <v>2003</v>
      </c>
      <c r="C9" s="70">
        <v>41364810</v>
      </c>
    </row>
    <row r="10" spans="1:11" x14ac:dyDescent="0.25">
      <c r="A10" s="75">
        <v>37834</v>
      </c>
      <c r="B10" s="142">
        <f t="shared" si="0"/>
        <v>2003</v>
      </c>
      <c r="C10" s="70">
        <v>39569947</v>
      </c>
    </row>
    <row r="11" spans="1:11" x14ac:dyDescent="0.25">
      <c r="A11" s="75">
        <v>37865</v>
      </c>
      <c r="B11" s="142">
        <f t="shared" si="0"/>
        <v>2003</v>
      </c>
      <c r="C11" s="70">
        <v>35904689</v>
      </c>
    </row>
    <row r="12" spans="1:11" x14ac:dyDescent="0.25">
      <c r="A12" s="75">
        <v>37895</v>
      </c>
      <c r="B12" s="142">
        <f t="shared" si="0"/>
        <v>2003</v>
      </c>
      <c r="C12" s="70">
        <v>37187656</v>
      </c>
    </row>
    <row r="13" spans="1:11" x14ac:dyDescent="0.25">
      <c r="A13" s="75">
        <v>37926</v>
      </c>
      <c r="B13" s="142">
        <f t="shared" si="0"/>
        <v>2003</v>
      </c>
      <c r="C13" s="70">
        <v>37804408</v>
      </c>
      <c r="H13">
        <v>2003</v>
      </c>
      <c r="I13" s="118">
        <f>SUMIFS(C:C,$B:$B,$H13)</f>
        <v>462324178</v>
      </c>
      <c r="J13" s="118">
        <f>SUMIFS(D:D,$B:$B,$H13)</f>
        <v>0</v>
      </c>
      <c r="K13" s="118">
        <f>I13+J13</f>
        <v>462324178</v>
      </c>
    </row>
    <row r="14" spans="1:11" x14ac:dyDescent="0.25">
      <c r="A14" s="75">
        <v>37956</v>
      </c>
      <c r="B14" s="142">
        <f t="shared" si="0"/>
        <v>2003</v>
      </c>
      <c r="C14" s="70">
        <v>41415642</v>
      </c>
      <c r="H14">
        <v>2004</v>
      </c>
      <c r="I14" s="118">
        <f t="shared" ref="I14:I31" si="1">SUMIFS(C:C,B:B,H14)</f>
        <v>468337202</v>
      </c>
      <c r="J14" s="118">
        <f t="shared" ref="J14:J29" si="2">SUMIFS(D:D,$B:$B,$H14)</f>
        <v>0</v>
      </c>
      <c r="K14" s="118">
        <f t="shared" ref="K14:K29" si="3">I14+J14</f>
        <v>468337202</v>
      </c>
    </row>
    <row r="15" spans="1:11" x14ac:dyDescent="0.25">
      <c r="A15" s="75">
        <v>37987</v>
      </c>
      <c r="B15" s="142">
        <f t="shared" si="0"/>
        <v>2004</v>
      </c>
      <c r="C15" s="70">
        <v>45022818</v>
      </c>
      <c r="H15">
        <v>2005</v>
      </c>
      <c r="I15" s="118">
        <f t="shared" si="1"/>
        <v>495175531</v>
      </c>
      <c r="J15" s="118">
        <f t="shared" si="2"/>
        <v>0</v>
      </c>
      <c r="K15" s="118">
        <f t="shared" si="3"/>
        <v>495175531</v>
      </c>
    </row>
    <row r="16" spans="1:11" x14ac:dyDescent="0.25">
      <c r="A16" s="75">
        <v>38018</v>
      </c>
      <c r="B16" s="142">
        <f t="shared" si="0"/>
        <v>2004</v>
      </c>
      <c r="C16" s="70">
        <v>39507480</v>
      </c>
      <c r="H16">
        <v>2006</v>
      </c>
      <c r="I16" s="118">
        <f t="shared" si="1"/>
        <v>493166269</v>
      </c>
      <c r="J16" s="118">
        <f t="shared" si="2"/>
        <v>0</v>
      </c>
      <c r="K16" s="118">
        <f t="shared" si="3"/>
        <v>493166269</v>
      </c>
    </row>
    <row r="17" spans="1:11" x14ac:dyDescent="0.25">
      <c r="A17" s="75">
        <v>38047</v>
      </c>
      <c r="B17" s="142">
        <f t="shared" si="0"/>
        <v>2004</v>
      </c>
      <c r="C17" s="70">
        <v>39890301</v>
      </c>
      <c r="H17">
        <v>2007</v>
      </c>
      <c r="I17" s="118">
        <f t="shared" si="1"/>
        <v>512386673</v>
      </c>
      <c r="J17" s="118">
        <f t="shared" si="2"/>
        <v>0</v>
      </c>
      <c r="K17" s="118">
        <f t="shared" si="3"/>
        <v>512386673</v>
      </c>
    </row>
    <row r="18" spans="1:11" x14ac:dyDescent="0.25">
      <c r="A18" s="75">
        <v>38078</v>
      </c>
      <c r="B18" s="142">
        <f t="shared" si="0"/>
        <v>2004</v>
      </c>
      <c r="C18" s="70">
        <v>35800315</v>
      </c>
      <c r="H18">
        <v>2008</v>
      </c>
      <c r="I18" s="118">
        <f t="shared" si="1"/>
        <v>507787443</v>
      </c>
      <c r="J18" s="118">
        <f t="shared" si="2"/>
        <v>0</v>
      </c>
      <c r="K18" s="118">
        <f t="shared" si="3"/>
        <v>507787443</v>
      </c>
    </row>
    <row r="19" spans="1:11" x14ac:dyDescent="0.25">
      <c r="A19" s="75">
        <v>38108</v>
      </c>
      <c r="B19" s="142">
        <f t="shared" si="0"/>
        <v>2004</v>
      </c>
      <c r="C19" s="70">
        <v>35700884</v>
      </c>
      <c r="H19">
        <v>2009</v>
      </c>
      <c r="I19" s="118">
        <f t="shared" si="1"/>
        <v>499800409</v>
      </c>
      <c r="J19" s="118">
        <f t="shared" si="2"/>
        <v>0</v>
      </c>
      <c r="K19" s="118">
        <f t="shared" si="3"/>
        <v>499800409</v>
      </c>
    </row>
    <row r="20" spans="1:11" x14ac:dyDescent="0.25">
      <c r="A20" s="75">
        <v>38139</v>
      </c>
      <c r="B20" s="142">
        <f t="shared" si="0"/>
        <v>2004</v>
      </c>
      <c r="C20" s="70">
        <v>37251140</v>
      </c>
      <c r="H20">
        <v>2010</v>
      </c>
      <c r="I20" s="118">
        <f t="shared" si="1"/>
        <v>520540576.92307693</v>
      </c>
      <c r="J20" s="118">
        <f t="shared" si="2"/>
        <v>5167145.5670452425</v>
      </c>
      <c r="K20" s="118">
        <f t="shared" si="3"/>
        <v>525707722.4901222</v>
      </c>
    </row>
    <row r="21" spans="1:11" x14ac:dyDescent="0.25">
      <c r="A21" s="75">
        <v>38169</v>
      </c>
      <c r="B21" s="142">
        <f t="shared" si="0"/>
        <v>2004</v>
      </c>
      <c r="C21" s="70">
        <v>39626471</v>
      </c>
      <c r="H21">
        <v>2011</v>
      </c>
      <c r="I21" s="118">
        <f t="shared" si="1"/>
        <v>519240438.46153849</v>
      </c>
      <c r="J21" s="118">
        <f t="shared" si="2"/>
        <v>5104621.4504785202</v>
      </c>
      <c r="K21" s="118">
        <f t="shared" si="3"/>
        <v>524345059.91201699</v>
      </c>
    </row>
    <row r="22" spans="1:11" x14ac:dyDescent="0.25">
      <c r="A22" s="75">
        <v>38200</v>
      </c>
      <c r="B22" s="142">
        <f t="shared" si="0"/>
        <v>2004</v>
      </c>
      <c r="C22" s="70">
        <v>39062020</v>
      </c>
      <c r="H22">
        <v>2012</v>
      </c>
      <c r="I22" s="118">
        <f t="shared" si="1"/>
        <v>512071040.55944055</v>
      </c>
      <c r="J22" s="118">
        <f t="shared" si="2"/>
        <v>4808052.1462532179</v>
      </c>
      <c r="K22" s="118">
        <f t="shared" si="3"/>
        <v>516879092.70569378</v>
      </c>
    </row>
    <row r="23" spans="1:11" x14ac:dyDescent="0.25">
      <c r="A23" s="75">
        <v>38231</v>
      </c>
      <c r="B23" s="142">
        <f t="shared" si="0"/>
        <v>2004</v>
      </c>
      <c r="C23" s="70">
        <v>37869958</v>
      </c>
      <c r="H23">
        <v>2013</v>
      </c>
      <c r="I23" s="118">
        <f t="shared" si="1"/>
        <v>518517966.66666669</v>
      </c>
      <c r="J23" s="118">
        <f t="shared" si="2"/>
        <v>4864453.8715085145</v>
      </c>
      <c r="K23" s="118">
        <f t="shared" si="3"/>
        <v>523382420.53817523</v>
      </c>
    </row>
    <row r="24" spans="1:11" x14ac:dyDescent="0.25">
      <c r="A24" s="75">
        <v>38261</v>
      </c>
      <c r="B24" s="142">
        <f t="shared" si="0"/>
        <v>2004</v>
      </c>
      <c r="C24" s="70">
        <v>37190707</v>
      </c>
      <c r="H24">
        <v>2014</v>
      </c>
      <c r="I24" s="118">
        <f t="shared" si="1"/>
        <v>529499716.28205132</v>
      </c>
      <c r="J24" s="118">
        <f t="shared" si="2"/>
        <v>4754248.4326252975</v>
      </c>
      <c r="K24" s="118">
        <f t="shared" si="3"/>
        <v>534253964.71467662</v>
      </c>
    </row>
    <row r="25" spans="1:11" x14ac:dyDescent="0.25">
      <c r="A25" s="75">
        <v>38292</v>
      </c>
      <c r="B25" s="142">
        <f t="shared" si="0"/>
        <v>2004</v>
      </c>
      <c r="C25" s="70">
        <v>38683114</v>
      </c>
      <c r="H25">
        <v>2015</v>
      </c>
      <c r="I25" s="118">
        <f t="shared" si="1"/>
        <v>524381523.07692313</v>
      </c>
      <c r="J25" s="118">
        <f t="shared" si="2"/>
        <v>4452239.9053772017</v>
      </c>
      <c r="K25" s="118">
        <f t="shared" si="3"/>
        <v>528833762.98230034</v>
      </c>
    </row>
    <row r="26" spans="1:11" x14ac:dyDescent="0.25">
      <c r="A26" s="75">
        <v>38322</v>
      </c>
      <c r="B26" s="142">
        <f t="shared" si="0"/>
        <v>2004</v>
      </c>
      <c r="C26" s="70">
        <v>42731994</v>
      </c>
      <c r="H26">
        <v>2016</v>
      </c>
      <c r="I26" s="118">
        <f t="shared" si="1"/>
        <v>521292346.1538462</v>
      </c>
      <c r="J26" s="118">
        <f t="shared" si="2"/>
        <v>4317983.0610951278</v>
      </c>
      <c r="K26" s="118">
        <f t="shared" si="3"/>
        <v>525610329.21494132</v>
      </c>
    </row>
    <row r="27" spans="1:11" x14ac:dyDescent="0.25">
      <c r="A27" s="75">
        <v>38353</v>
      </c>
      <c r="B27" s="142">
        <f t="shared" si="0"/>
        <v>2005</v>
      </c>
      <c r="C27" s="70">
        <v>44769310</v>
      </c>
      <c r="H27">
        <v>2017</v>
      </c>
      <c r="I27" s="118">
        <f t="shared" si="1"/>
        <v>494833719.04761904</v>
      </c>
      <c r="J27" s="118">
        <f t="shared" si="2"/>
        <v>4157502.6427032193</v>
      </c>
      <c r="K27" s="118">
        <f t="shared" si="3"/>
        <v>498991221.69032228</v>
      </c>
    </row>
    <row r="28" spans="1:11" x14ac:dyDescent="0.25">
      <c r="A28" s="75">
        <v>38384</v>
      </c>
      <c r="B28" s="142">
        <f t="shared" si="0"/>
        <v>2005</v>
      </c>
      <c r="C28" s="70">
        <v>38587380</v>
      </c>
      <c r="H28">
        <v>2018</v>
      </c>
      <c r="I28" s="118">
        <f t="shared" si="1"/>
        <v>515265533.33333325</v>
      </c>
      <c r="J28" s="118">
        <f t="shared" si="2"/>
        <v>4024779.9577567852</v>
      </c>
      <c r="K28" s="118">
        <f t="shared" si="3"/>
        <v>519290313.29109001</v>
      </c>
    </row>
    <row r="29" spans="1:11" x14ac:dyDescent="0.25">
      <c r="A29" s="75">
        <v>38412</v>
      </c>
      <c r="B29" s="142">
        <f t="shared" si="0"/>
        <v>2005</v>
      </c>
      <c r="C29" s="70">
        <v>40808220</v>
      </c>
      <c r="H29">
        <v>2019</v>
      </c>
      <c r="I29" s="118">
        <f t="shared" si="1"/>
        <v>509480020</v>
      </c>
      <c r="J29" s="118">
        <f t="shared" si="2"/>
        <v>3795654.6541342689</v>
      </c>
      <c r="K29" s="118">
        <f t="shared" si="3"/>
        <v>513275674.65413427</v>
      </c>
    </row>
    <row r="30" spans="1:11" x14ac:dyDescent="0.25">
      <c r="A30" s="75">
        <v>38443</v>
      </c>
      <c r="B30" s="142">
        <f t="shared" si="0"/>
        <v>2005</v>
      </c>
      <c r="C30" s="70">
        <v>36419080</v>
      </c>
      <c r="H30">
        <v>2020</v>
      </c>
      <c r="I30" s="118">
        <f t="shared" si="1"/>
        <v>0</v>
      </c>
      <c r="K30" s="118"/>
    </row>
    <row r="31" spans="1:11" x14ac:dyDescent="0.25">
      <c r="A31" s="75">
        <v>38473</v>
      </c>
      <c r="B31" s="142">
        <f t="shared" si="0"/>
        <v>2005</v>
      </c>
      <c r="C31" s="70">
        <v>36941580</v>
      </c>
      <c r="H31">
        <v>2021</v>
      </c>
      <c r="I31" s="118">
        <f t="shared" si="1"/>
        <v>0</v>
      </c>
    </row>
    <row r="32" spans="1:11" x14ac:dyDescent="0.25">
      <c r="A32" s="75">
        <v>38504</v>
      </c>
      <c r="B32" s="142">
        <f t="shared" si="0"/>
        <v>2005</v>
      </c>
      <c r="C32" s="70">
        <v>44668720</v>
      </c>
    </row>
    <row r="33" spans="1:3" x14ac:dyDescent="0.25">
      <c r="A33" s="75">
        <v>38534</v>
      </c>
      <c r="B33" s="142">
        <f t="shared" si="0"/>
        <v>2005</v>
      </c>
      <c r="C33" s="70">
        <v>46174960</v>
      </c>
    </row>
    <row r="34" spans="1:3" x14ac:dyDescent="0.25">
      <c r="A34" s="75">
        <v>38565</v>
      </c>
      <c r="B34" s="142">
        <f t="shared" si="0"/>
        <v>2005</v>
      </c>
      <c r="C34" s="70">
        <v>44768680</v>
      </c>
    </row>
    <row r="35" spans="1:3" x14ac:dyDescent="0.25">
      <c r="A35" s="75">
        <v>38596</v>
      </c>
      <c r="B35" s="142">
        <f t="shared" si="0"/>
        <v>2005</v>
      </c>
      <c r="C35" s="70">
        <v>39535820</v>
      </c>
    </row>
    <row r="36" spans="1:3" x14ac:dyDescent="0.25">
      <c r="A36" s="75">
        <v>38626</v>
      </c>
      <c r="B36" s="142">
        <f t="shared" si="0"/>
        <v>2005</v>
      </c>
      <c r="C36" s="70">
        <v>38746230</v>
      </c>
    </row>
    <row r="37" spans="1:3" x14ac:dyDescent="0.25">
      <c r="A37" s="75">
        <v>38657</v>
      </c>
      <c r="B37" s="142">
        <f t="shared" si="0"/>
        <v>2005</v>
      </c>
      <c r="C37" s="70">
        <v>39948612</v>
      </c>
    </row>
    <row r="38" spans="1:3" x14ac:dyDescent="0.25">
      <c r="A38" s="75">
        <v>38687</v>
      </c>
      <c r="B38" s="142">
        <f t="shared" si="0"/>
        <v>2005</v>
      </c>
      <c r="C38" s="70">
        <v>43806939</v>
      </c>
    </row>
    <row r="39" spans="1:3" x14ac:dyDescent="0.25">
      <c r="A39" s="75">
        <v>38718</v>
      </c>
      <c r="B39" s="142">
        <f t="shared" si="0"/>
        <v>2006</v>
      </c>
      <c r="C39" s="71">
        <v>42694686</v>
      </c>
    </row>
    <row r="40" spans="1:3" x14ac:dyDescent="0.25">
      <c r="A40" s="75">
        <v>38749</v>
      </c>
      <c r="B40" s="142">
        <f t="shared" si="0"/>
        <v>2006</v>
      </c>
      <c r="C40" s="71">
        <v>39473284</v>
      </c>
    </row>
    <row r="41" spans="1:3" x14ac:dyDescent="0.25">
      <c r="A41" s="75">
        <v>38777</v>
      </c>
      <c r="B41" s="142">
        <f t="shared" si="0"/>
        <v>2006</v>
      </c>
      <c r="C41" s="71">
        <v>41133492</v>
      </c>
    </row>
    <row r="42" spans="1:3" x14ac:dyDescent="0.25">
      <c r="A42" s="75">
        <v>38808</v>
      </c>
      <c r="B42" s="142">
        <f t="shared" si="0"/>
        <v>2006</v>
      </c>
      <c r="C42" s="71">
        <v>36883395</v>
      </c>
    </row>
    <row r="43" spans="1:3" x14ac:dyDescent="0.25">
      <c r="A43" s="75">
        <v>38838</v>
      </c>
      <c r="B43" s="142">
        <f t="shared" si="0"/>
        <v>2006</v>
      </c>
      <c r="C43" s="71">
        <v>39614104</v>
      </c>
    </row>
    <row r="44" spans="1:3" x14ac:dyDescent="0.25">
      <c r="A44" s="75">
        <v>38869</v>
      </c>
      <c r="B44" s="142">
        <f t="shared" si="0"/>
        <v>2006</v>
      </c>
      <c r="C44" s="71">
        <v>42375007</v>
      </c>
    </row>
    <row r="45" spans="1:3" x14ac:dyDescent="0.25">
      <c r="A45" s="75">
        <v>38899</v>
      </c>
      <c r="B45" s="142">
        <f t="shared" si="0"/>
        <v>2006</v>
      </c>
      <c r="C45" s="71">
        <v>47257890</v>
      </c>
    </row>
    <row r="46" spans="1:3" x14ac:dyDescent="0.25">
      <c r="A46" s="75">
        <v>38930</v>
      </c>
      <c r="B46" s="142">
        <f t="shared" si="0"/>
        <v>2006</v>
      </c>
      <c r="C46" s="71">
        <v>44158704</v>
      </c>
    </row>
    <row r="47" spans="1:3" x14ac:dyDescent="0.25">
      <c r="A47" s="75">
        <v>38961</v>
      </c>
      <c r="B47" s="142">
        <f t="shared" si="0"/>
        <v>2006</v>
      </c>
      <c r="C47" s="71">
        <v>37845912</v>
      </c>
    </row>
    <row r="48" spans="1:3" x14ac:dyDescent="0.25">
      <c r="A48" s="75">
        <v>38991</v>
      </c>
      <c r="B48" s="142">
        <f t="shared" si="0"/>
        <v>2006</v>
      </c>
      <c r="C48" s="71">
        <v>39300023</v>
      </c>
    </row>
    <row r="49" spans="1:3" x14ac:dyDescent="0.25">
      <c r="A49" s="75">
        <v>39022</v>
      </c>
      <c r="B49" s="142">
        <f t="shared" si="0"/>
        <v>2006</v>
      </c>
      <c r="C49" s="71">
        <v>39294756</v>
      </c>
    </row>
    <row r="50" spans="1:3" x14ac:dyDescent="0.25">
      <c r="A50" s="75">
        <v>39052</v>
      </c>
      <c r="B50" s="142">
        <f t="shared" si="0"/>
        <v>2006</v>
      </c>
      <c r="C50" s="71">
        <v>43135016</v>
      </c>
    </row>
    <row r="51" spans="1:3" x14ac:dyDescent="0.25">
      <c r="A51" s="75">
        <v>39083</v>
      </c>
      <c r="B51" s="142">
        <f t="shared" si="0"/>
        <v>2007</v>
      </c>
      <c r="C51" s="71">
        <v>44818889</v>
      </c>
    </row>
    <row r="52" spans="1:3" x14ac:dyDescent="0.25">
      <c r="A52" s="75">
        <v>39114</v>
      </c>
      <c r="B52" s="142">
        <f t="shared" si="0"/>
        <v>2007</v>
      </c>
      <c r="C52" s="71">
        <v>42357383</v>
      </c>
    </row>
    <row r="53" spans="1:3" x14ac:dyDescent="0.25">
      <c r="A53" s="75">
        <v>39142</v>
      </c>
      <c r="B53" s="142">
        <f t="shared" si="0"/>
        <v>2007</v>
      </c>
      <c r="C53" s="71">
        <v>42654800</v>
      </c>
    </row>
    <row r="54" spans="1:3" x14ac:dyDescent="0.25">
      <c r="A54" s="75">
        <v>39173</v>
      </c>
      <c r="B54" s="142">
        <f t="shared" si="0"/>
        <v>2007</v>
      </c>
      <c r="C54" s="71">
        <v>39684175</v>
      </c>
    </row>
    <row r="55" spans="1:3" x14ac:dyDescent="0.25">
      <c r="A55" s="75">
        <v>39203</v>
      </c>
      <c r="B55" s="142">
        <f t="shared" si="0"/>
        <v>2007</v>
      </c>
      <c r="C55" s="71">
        <v>39887811</v>
      </c>
    </row>
    <row r="56" spans="1:3" x14ac:dyDescent="0.25">
      <c r="A56" s="75">
        <v>39234</v>
      </c>
      <c r="B56" s="142">
        <f t="shared" si="0"/>
        <v>2007</v>
      </c>
      <c r="C56" s="71">
        <v>44759145</v>
      </c>
    </row>
    <row r="57" spans="1:3" x14ac:dyDescent="0.25">
      <c r="A57" s="75">
        <v>39264</v>
      </c>
      <c r="B57" s="142">
        <f t="shared" si="0"/>
        <v>2007</v>
      </c>
      <c r="C57" s="71">
        <v>44321710</v>
      </c>
    </row>
    <row r="58" spans="1:3" x14ac:dyDescent="0.25">
      <c r="A58" s="75">
        <v>39295</v>
      </c>
      <c r="B58" s="142">
        <f t="shared" si="0"/>
        <v>2007</v>
      </c>
      <c r="C58" s="71">
        <v>46460240</v>
      </c>
    </row>
    <row r="59" spans="1:3" x14ac:dyDescent="0.25">
      <c r="A59" s="75">
        <v>39326</v>
      </c>
      <c r="B59" s="142">
        <f t="shared" si="0"/>
        <v>2007</v>
      </c>
      <c r="C59" s="71">
        <v>40259250</v>
      </c>
    </row>
    <row r="60" spans="1:3" x14ac:dyDescent="0.25">
      <c r="A60" s="75">
        <v>39356</v>
      </c>
      <c r="B60" s="142">
        <f t="shared" si="0"/>
        <v>2007</v>
      </c>
      <c r="C60" s="71">
        <v>39936050</v>
      </c>
    </row>
    <row r="61" spans="1:3" x14ac:dyDescent="0.25">
      <c r="A61" s="75">
        <v>39387</v>
      </c>
      <c r="B61" s="142">
        <f t="shared" si="0"/>
        <v>2007</v>
      </c>
      <c r="C61" s="71">
        <v>41297990</v>
      </c>
    </row>
    <row r="62" spans="1:3" x14ac:dyDescent="0.25">
      <c r="A62" s="75">
        <v>39417</v>
      </c>
      <c r="B62" s="142">
        <f t="shared" si="0"/>
        <v>2007</v>
      </c>
      <c r="C62" s="71">
        <v>45949230</v>
      </c>
    </row>
    <row r="63" spans="1:3" x14ac:dyDescent="0.25">
      <c r="A63" s="75">
        <v>39448</v>
      </c>
      <c r="B63" s="142">
        <f t="shared" si="0"/>
        <v>2008</v>
      </c>
      <c r="C63" s="72">
        <v>45263815</v>
      </c>
    </row>
    <row r="64" spans="1:3" x14ac:dyDescent="0.25">
      <c r="A64" s="75">
        <v>39479</v>
      </c>
      <c r="B64" s="142">
        <f t="shared" si="0"/>
        <v>2008</v>
      </c>
      <c r="C64" s="72">
        <v>42751053</v>
      </c>
    </row>
    <row r="65" spans="1:3" x14ac:dyDescent="0.25">
      <c r="A65" s="75">
        <v>39508</v>
      </c>
      <c r="B65" s="142">
        <f t="shared" si="0"/>
        <v>2008</v>
      </c>
      <c r="C65" s="72">
        <v>43037645</v>
      </c>
    </row>
    <row r="66" spans="1:3" x14ac:dyDescent="0.25">
      <c r="A66" s="75">
        <v>39539</v>
      </c>
      <c r="B66" s="142">
        <f t="shared" si="0"/>
        <v>2008</v>
      </c>
      <c r="C66" s="72">
        <v>38303184</v>
      </c>
    </row>
    <row r="67" spans="1:3" x14ac:dyDescent="0.25">
      <c r="A67" s="75">
        <v>39569</v>
      </c>
      <c r="B67" s="142">
        <f t="shared" si="0"/>
        <v>2008</v>
      </c>
      <c r="C67" s="72">
        <v>38265516</v>
      </c>
    </row>
    <row r="68" spans="1:3" x14ac:dyDescent="0.25">
      <c r="A68" s="75">
        <v>39600</v>
      </c>
      <c r="B68" s="142">
        <f t="shared" ref="B68:B131" si="4">YEAR(A68)</f>
        <v>2008</v>
      </c>
      <c r="C68" s="72">
        <v>42475230</v>
      </c>
    </row>
    <row r="69" spans="1:3" x14ac:dyDescent="0.25">
      <c r="A69" s="75">
        <v>39630</v>
      </c>
      <c r="B69" s="142">
        <f t="shared" si="4"/>
        <v>2008</v>
      </c>
      <c r="C69" s="72">
        <v>46396350</v>
      </c>
    </row>
    <row r="70" spans="1:3" x14ac:dyDescent="0.25">
      <c r="A70" s="75">
        <v>39661</v>
      </c>
      <c r="B70" s="142">
        <f t="shared" si="4"/>
        <v>2008</v>
      </c>
      <c r="C70" s="72">
        <v>43186600</v>
      </c>
    </row>
    <row r="71" spans="1:3" x14ac:dyDescent="0.25">
      <c r="A71" s="75">
        <v>39692</v>
      </c>
      <c r="B71" s="142">
        <f t="shared" si="4"/>
        <v>2008</v>
      </c>
      <c r="C71" s="72">
        <v>40740620</v>
      </c>
    </row>
    <row r="72" spans="1:3" x14ac:dyDescent="0.25">
      <c r="A72" s="75">
        <v>39722</v>
      </c>
      <c r="B72" s="142">
        <f t="shared" si="4"/>
        <v>2008</v>
      </c>
      <c r="C72" s="72">
        <v>40655700</v>
      </c>
    </row>
    <row r="73" spans="1:3" x14ac:dyDescent="0.25">
      <c r="A73" s="75">
        <v>39753</v>
      </c>
      <c r="B73" s="142">
        <f t="shared" si="4"/>
        <v>2008</v>
      </c>
      <c r="C73" s="72">
        <v>40859730</v>
      </c>
    </row>
    <row r="74" spans="1:3" x14ac:dyDescent="0.25">
      <c r="A74" s="75">
        <v>39783</v>
      </c>
      <c r="B74" s="142">
        <f t="shared" si="4"/>
        <v>2008</v>
      </c>
      <c r="C74" s="72">
        <v>45852000</v>
      </c>
    </row>
    <row r="75" spans="1:3" x14ac:dyDescent="0.25">
      <c r="A75" s="75">
        <v>39814</v>
      </c>
      <c r="B75" s="142">
        <f t="shared" si="4"/>
        <v>2009</v>
      </c>
      <c r="C75" s="71">
        <v>47628012</v>
      </c>
    </row>
    <row r="76" spans="1:3" x14ac:dyDescent="0.25">
      <c r="A76" s="75">
        <v>39845</v>
      </c>
      <c r="B76" s="142">
        <f t="shared" si="4"/>
        <v>2009</v>
      </c>
      <c r="C76" s="71">
        <v>41115814</v>
      </c>
    </row>
    <row r="77" spans="1:3" x14ac:dyDescent="0.25">
      <c r="A77" s="75">
        <v>39873</v>
      </c>
      <c r="B77" s="142">
        <f t="shared" si="4"/>
        <v>2009</v>
      </c>
      <c r="C77" s="71">
        <v>42459987</v>
      </c>
    </row>
    <row r="78" spans="1:3" x14ac:dyDescent="0.25">
      <c r="A78" s="75">
        <v>39904</v>
      </c>
      <c r="B78" s="142">
        <f t="shared" si="4"/>
        <v>2009</v>
      </c>
      <c r="C78" s="71">
        <v>38614683</v>
      </c>
    </row>
    <row r="79" spans="1:3" x14ac:dyDescent="0.25">
      <c r="A79" s="75">
        <v>39934</v>
      </c>
      <c r="B79" s="142">
        <f t="shared" si="4"/>
        <v>2009</v>
      </c>
      <c r="C79" s="71">
        <v>38130005</v>
      </c>
    </row>
    <row r="80" spans="1:3" x14ac:dyDescent="0.25">
      <c r="A80" s="75">
        <v>39965</v>
      </c>
      <c r="B80" s="142">
        <f t="shared" si="4"/>
        <v>2009</v>
      </c>
      <c r="C80" s="71">
        <v>40405210</v>
      </c>
    </row>
    <row r="81" spans="1:10" x14ac:dyDescent="0.25">
      <c r="A81" s="75">
        <v>39995</v>
      </c>
      <c r="B81" s="142">
        <f t="shared" si="4"/>
        <v>2009</v>
      </c>
      <c r="C81" s="71">
        <v>41289748</v>
      </c>
    </row>
    <row r="82" spans="1:10" x14ac:dyDescent="0.25">
      <c r="A82" s="75">
        <v>40026</v>
      </c>
      <c r="B82" s="142">
        <f t="shared" si="4"/>
        <v>2009</v>
      </c>
      <c r="C82" s="71">
        <v>44991000</v>
      </c>
    </row>
    <row r="83" spans="1:10" x14ac:dyDescent="0.25">
      <c r="A83" s="75">
        <v>40057</v>
      </c>
      <c r="B83" s="142">
        <f t="shared" si="4"/>
        <v>2009</v>
      </c>
      <c r="C83" s="71">
        <v>39783750</v>
      </c>
    </row>
    <row r="84" spans="1:10" x14ac:dyDescent="0.25">
      <c r="A84" s="75">
        <v>40087</v>
      </c>
      <c r="B84" s="142">
        <f t="shared" si="4"/>
        <v>2009</v>
      </c>
      <c r="C84" s="71">
        <v>40181000</v>
      </c>
    </row>
    <row r="85" spans="1:10" x14ac:dyDescent="0.25">
      <c r="A85" s="75">
        <v>40118</v>
      </c>
      <c r="B85" s="142">
        <f t="shared" si="4"/>
        <v>2009</v>
      </c>
      <c r="C85" s="71">
        <v>39698200</v>
      </c>
      <c r="D85" s="82"/>
    </row>
    <row r="86" spans="1:10" x14ac:dyDescent="0.25">
      <c r="A86" s="75">
        <v>40148</v>
      </c>
      <c r="B86" s="142">
        <f t="shared" si="4"/>
        <v>2009</v>
      </c>
      <c r="C86" s="71">
        <v>45503000</v>
      </c>
      <c r="D86" s="82">
        <f>+WMP!B2*F86</f>
        <v>0</v>
      </c>
      <c r="E86" s="82"/>
      <c r="G86" s="82"/>
      <c r="H86" s="82"/>
      <c r="I86" s="82"/>
      <c r="J86" s="82"/>
    </row>
    <row r="87" spans="1:10" x14ac:dyDescent="0.25">
      <c r="A87" s="75">
        <v>40179</v>
      </c>
      <c r="B87" s="142">
        <f t="shared" si="4"/>
        <v>2010</v>
      </c>
      <c r="C87" s="71">
        <v>46477661.538461544</v>
      </c>
      <c r="D87" s="118">
        <f>+WMP!B3*F87</f>
        <v>408795.56513611629</v>
      </c>
      <c r="E87" s="82"/>
      <c r="F87" s="32">
        <v>1.0690300571367626</v>
      </c>
      <c r="G87" s="82"/>
      <c r="H87" s="82"/>
      <c r="I87" s="82"/>
      <c r="J87" s="82"/>
    </row>
    <row r="88" spans="1:10" x14ac:dyDescent="0.25">
      <c r="A88" s="75">
        <v>40210</v>
      </c>
      <c r="B88" s="142">
        <f t="shared" si="4"/>
        <v>2010</v>
      </c>
      <c r="C88" s="71">
        <v>41573169.230769232</v>
      </c>
      <c r="D88" s="118">
        <f>+WMP!B4*F88</f>
        <v>360780.90327296266</v>
      </c>
      <c r="E88" s="82"/>
      <c r="F88" s="32">
        <v>1.0690300571367626</v>
      </c>
      <c r="G88" s="82"/>
    </row>
    <row r="89" spans="1:10" x14ac:dyDescent="0.25">
      <c r="A89" s="75">
        <v>40238</v>
      </c>
      <c r="B89" s="142">
        <f t="shared" si="4"/>
        <v>2010</v>
      </c>
      <c r="C89" s="71">
        <v>41694323.07692308</v>
      </c>
      <c r="D89" s="118">
        <f>+WMP!B5*F89</f>
        <v>411089.37223941408</v>
      </c>
      <c r="E89" s="82"/>
      <c r="F89" s="32">
        <v>1.0690300571367626</v>
      </c>
      <c r="G89" s="82"/>
    </row>
    <row r="90" spans="1:10" x14ac:dyDescent="0.25">
      <c r="A90" s="75">
        <v>40269</v>
      </c>
      <c r="B90" s="142">
        <f t="shared" si="4"/>
        <v>2010</v>
      </c>
      <c r="C90" s="71">
        <v>37170715.384615384</v>
      </c>
      <c r="D90" s="118">
        <f>+WMP!B6*F90</f>
        <v>397084.36224078422</v>
      </c>
      <c r="E90" s="82"/>
      <c r="F90" s="32">
        <v>1.0690300571367626</v>
      </c>
      <c r="G90" s="82"/>
    </row>
    <row r="91" spans="1:10" x14ac:dyDescent="0.25">
      <c r="A91" s="75">
        <v>40299</v>
      </c>
      <c r="B91" s="142">
        <f t="shared" si="4"/>
        <v>2010</v>
      </c>
      <c r="C91" s="71">
        <v>41877784.615384616</v>
      </c>
      <c r="D91" s="118">
        <f>+WMP!B7*F91</f>
        <v>456344.07644285553</v>
      </c>
      <c r="E91" s="82"/>
      <c r="F91" s="32">
        <v>1.0690300571367626</v>
      </c>
      <c r="G91" s="82"/>
    </row>
    <row r="92" spans="1:10" x14ac:dyDescent="0.25">
      <c r="A92" s="75">
        <v>40330</v>
      </c>
      <c r="B92" s="142">
        <f t="shared" si="4"/>
        <v>2010</v>
      </c>
      <c r="C92" s="71">
        <v>43649361.538461536</v>
      </c>
      <c r="D92" s="118">
        <f>+WMP!B8*F92</f>
        <v>468253.86236160132</v>
      </c>
      <c r="E92" s="82"/>
      <c r="F92" s="32">
        <v>1.0690300571367626</v>
      </c>
      <c r="G92" s="82"/>
    </row>
    <row r="93" spans="1:10" x14ac:dyDescent="0.25">
      <c r="A93" s="75">
        <v>40360</v>
      </c>
      <c r="B93" s="142">
        <f t="shared" si="4"/>
        <v>2010</v>
      </c>
      <c r="C93" s="71">
        <v>50523061.538461536</v>
      </c>
      <c r="D93" s="118">
        <f>+WMP!B9*F93</f>
        <v>507091.56398287136</v>
      </c>
      <c r="E93" s="82"/>
      <c r="F93" s="32">
        <v>1.0690300571367626</v>
      </c>
      <c r="G93" s="82"/>
    </row>
    <row r="94" spans="1:10" x14ac:dyDescent="0.25">
      <c r="A94" s="75">
        <v>40391</v>
      </c>
      <c r="B94" s="142">
        <f t="shared" si="4"/>
        <v>2010</v>
      </c>
      <c r="C94" s="71">
        <v>48496438.461538464</v>
      </c>
      <c r="D94" s="118">
        <f>+WMP!B10*F94</f>
        <v>495727.59274039784</v>
      </c>
      <c r="E94" s="82"/>
      <c r="F94" s="32">
        <v>1.0690300571367626</v>
      </c>
      <c r="G94" s="82"/>
    </row>
    <row r="95" spans="1:10" x14ac:dyDescent="0.25">
      <c r="A95" s="75">
        <v>40422</v>
      </c>
      <c r="B95" s="142">
        <f t="shared" si="4"/>
        <v>2010</v>
      </c>
      <c r="C95" s="71">
        <v>40569069.230769232</v>
      </c>
      <c r="D95" s="118">
        <f>+WMP!B11*F95</f>
        <v>435946.02082563465</v>
      </c>
      <c r="E95" s="82"/>
      <c r="F95" s="32">
        <v>1.0690300571367626</v>
      </c>
      <c r="G95" s="82"/>
    </row>
    <row r="96" spans="1:10" x14ac:dyDescent="0.25">
      <c r="A96" s="75">
        <v>40452</v>
      </c>
      <c r="B96" s="142">
        <f t="shared" si="4"/>
        <v>2010</v>
      </c>
      <c r="C96" s="71">
        <v>40047369.230769232</v>
      </c>
      <c r="D96" s="118">
        <f>+WMP!B12*F96</f>
        <v>417599.60493286839</v>
      </c>
      <c r="E96" s="82"/>
      <c r="F96" s="32">
        <v>1.0690300571367626</v>
      </c>
      <c r="G96" s="82"/>
    </row>
    <row r="97" spans="1:7" x14ac:dyDescent="0.25">
      <c r="A97" s="75">
        <v>40483</v>
      </c>
      <c r="B97" s="142">
        <f t="shared" si="4"/>
        <v>2010</v>
      </c>
      <c r="C97" s="71">
        <v>41183369.230769232</v>
      </c>
      <c r="D97" s="118">
        <f>+WMP!B13*F97</f>
        <v>396014.95802312746</v>
      </c>
      <c r="E97" s="82"/>
      <c r="F97" s="32">
        <v>1.0690300571367626</v>
      </c>
      <c r="G97" s="82"/>
    </row>
    <row r="98" spans="1:7" x14ac:dyDescent="0.25">
      <c r="A98" s="75">
        <v>40513</v>
      </c>
      <c r="B98" s="142">
        <f t="shared" si="4"/>
        <v>2010</v>
      </c>
      <c r="C98" s="71">
        <v>47278253.846153848</v>
      </c>
      <c r="D98" s="118">
        <f>+WMP!B14*F98</f>
        <v>412417.68484660878</v>
      </c>
      <c r="E98" s="82"/>
      <c r="F98" s="32">
        <v>1.0690300571367626</v>
      </c>
      <c r="G98" s="82"/>
    </row>
    <row r="99" spans="1:7" x14ac:dyDescent="0.25">
      <c r="A99" s="75">
        <v>40544</v>
      </c>
      <c r="B99" s="142">
        <f t="shared" si="4"/>
        <v>2011</v>
      </c>
      <c r="C99" s="71">
        <v>47976584.615384616</v>
      </c>
      <c r="D99" s="118">
        <f>+WMP!B15*F99</f>
        <v>409866.33526348241</v>
      </c>
      <c r="E99" s="82"/>
      <c r="F99" s="32">
        <v>1.0714655516012965</v>
      </c>
      <c r="G99" s="82"/>
    </row>
    <row r="100" spans="1:7" x14ac:dyDescent="0.25">
      <c r="A100" s="75">
        <v>40575</v>
      </c>
      <c r="B100" s="142">
        <f t="shared" si="4"/>
        <v>2011</v>
      </c>
      <c r="C100" s="71">
        <v>42881461.538461544</v>
      </c>
      <c r="D100" s="118">
        <f>+WMP!B16*F100</f>
        <v>363500.04570849787</v>
      </c>
      <c r="E100" s="82"/>
      <c r="F100" s="32">
        <v>1.0714655516012965</v>
      </c>
      <c r="G100" s="82"/>
    </row>
    <row r="101" spans="1:7" x14ac:dyDescent="0.25">
      <c r="A101" s="75">
        <v>40603</v>
      </c>
      <c r="B101" s="142">
        <f t="shared" si="4"/>
        <v>2011</v>
      </c>
      <c r="C101" s="71">
        <v>44667184.615384616</v>
      </c>
      <c r="D101" s="118">
        <f>+WMP!B17*F101</f>
        <v>409467.10719895572</v>
      </c>
      <c r="E101" s="82"/>
      <c r="F101" s="32">
        <v>1.0714655516012965</v>
      </c>
      <c r="G101" s="82"/>
    </row>
    <row r="102" spans="1:7" x14ac:dyDescent="0.25">
      <c r="A102" s="75">
        <v>40634</v>
      </c>
      <c r="B102" s="142">
        <f t="shared" si="4"/>
        <v>2011</v>
      </c>
      <c r="C102" s="71">
        <v>39775423.07692308</v>
      </c>
      <c r="D102" s="118">
        <f>+WMP!B18*F102</f>
        <v>398234.33380081045</v>
      </c>
      <c r="E102" s="82"/>
      <c r="F102" s="32">
        <v>1.0714655516012965</v>
      </c>
      <c r="G102" s="82"/>
    </row>
    <row r="103" spans="1:7" x14ac:dyDescent="0.25">
      <c r="A103" s="75">
        <v>40664</v>
      </c>
      <c r="B103" s="142">
        <f t="shared" si="4"/>
        <v>2011</v>
      </c>
      <c r="C103" s="71">
        <v>40526946.153846152</v>
      </c>
      <c r="D103" s="118">
        <f>+WMP!B19*F103</f>
        <v>441258.10085033061</v>
      </c>
      <c r="E103" s="82"/>
      <c r="F103" s="32">
        <v>1.0714655516012965</v>
      </c>
      <c r="G103" s="82"/>
    </row>
    <row r="104" spans="1:7" x14ac:dyDescent="0.25">
      <c r="A104" s="75">
        <v>40695</v>
      </c>
      <c r="B104" s="142">
        <f t="shared" si="4"/>
        <v>2011</v>
      </c>
      <c r="C104" s="71">
        <v>42633200.000000007</v>
      </c>
      <c r="D104" s="118">
        <f>+WMP!B20*F104</f>
        <v>454552.97399046569</v>
      </c>
      <c r="E104" s="82"/>
      <c r="F104" s="32">
        <v>1.0714655516012965</v>
      </c>
      <c r="G104" s="82"/>
    </row>
    <row r="105" spans="1:7" x14ac:dyDescent="0.25">
      <c r="A105" s="75">
        <v>40725</v>
      </c>
      <c r="B105" s="142">
        <f t="shared" si="4"/>
        <v>2011</v>
      </c>
      <c r="C105" s="71">
        <v>50774907.692307696</v>
      </c>
      <c r="D105" s="118">
        <f>+WMP!B21*F105</f>
        <v>513592.72952427861</v>
      </c>
      <c r="E105" s="82"/>
      <c r="F105" s="32">
        <v>1.0714655516012965</v>
      </c>
      <c r="G105" s="82"/>
    </row>
    <row r="106" spans="1:7" x14ac:dyDescent="0.25">
      <c r="A106" s="75">
        <v>40756</v>
      </c>
      <c r="B106" s="142">
        <f t="shared" si="4"/>
        <v>2011</v>
      </c>
      <c r="C106" s="71">
        <v>46905930.769230768</v>
      </c>
      <c r="D106" s="118">
        <f>+WMP!B22*F106</f>
        <v>487906.16441607528</v>
      </c>
      <c r="E106" s="82"/>
      <c r="F106" s="32">
        <v>1.0714655516012965</v>
      </c>
      <c r="G106" s="82"/>
    </row>
    <row r="107" spans="1:7" x14ac:dyDescent="0.25">
      <c r="A107" s="75">
        <v>40787</v>
      </c>
      <c r="B107" s="142">
        <f t="shared" si="4"/>
        <v>2011</v>
      </c>
      <c r="C107" s="71">
        <v>40614553.846153848</v>
      </c>
      <c r="D107" s="118">
        <f>+WMP!B23*F107</f>
        <v>440052.60567287955</v>
      </c>
      <c r="E107" s="82"/>
      <c r="F107" s="32">
        <v>1.0714655516012965</v>
      </c>
      <c r="G107" s="82"/>
    </row>
    <row r="108" spans="1:7" x14ac:dyDescent="0.25">
      <c r="A108" s="75">
        <v>40817</v>
      </c>
      <c r="B108" s="142">
        <f t="shared" si="4"/>
        <v>2011</v>
      </c>
      <c r="C108" s="71">
        <v>40718976.92307692</v>
      </c>
      <c r="D108" s="118">
        <f>+WMP!B24*F108</f>
        <v>412627.66270979168</v>
      </c>
      <c r="E108" s="82"/>
      <c r="F108" s="32">
        <v>1.0714655516012965</v>
      </c>
      <c r="G108" s="82"/>
    </row>
    <row r="109" spans="1:7" x14ac:dyDescent="0.25">
      <c r="A109" s="75">
        <v>40848</v>
      </c>
      <c r="B109" s="142">
        <f t="shared" si="4"/>
        <v>2011</v>
      </c>
      <c r="C109" s="71">
        <v>41046292.307692297</v>
      </c>
      <c r="D109" s="118">
        <f>+WMP!B25*F109</f>
        <v>382853.63867137313</v>
      </c>
      <c r="E109" s="82"/>
      <c r="F109" s="32">
        <v>1.0714655516012965</v>
      </c>
      <c r="G109" s="82"/>
    </row>
    <row r="110" spans="1:7" x14ac:dyDescent="0.25">
      <c r="A110" s="75">
        <v>40878</v>
      </c>
      <c r="B110" s="142">
        <f t="shared" si="4"/>
        <v>2011</v>
      </c>
      <c r="C110" s="71">
        <v>40718976.92307692</v>
      </c>
      <c r="D110" s="118">
        <f>+WMP!B26*F110</f>
        <v>390709.75267158</v>
      </c>
      <c r="E110" s="82"/>
      <c r="F110" s="32">
        <v>1.0714655516012965</v>
      </c>
      <c r="G110" s="82"/>
    </row>
    <row r="111" spans="1:7" x14ac:dyDescent="0.25">
      <c r="A111" s="75">
        <v>40909</v>
      </c>
      <c r="B111" s="142">
        <f t="shared" si="4"/>
        <v>2012</v>
      </c>
      <c r="C111" s="71">
        <v>45302407.692307696</v>
      </c>
      <c r="D111" s="118">
        <f>+WMP!B27*F111</f>
        <v>385215.52071866905</v>
      </c>
      <c r="E111" s="82"/>
      <c r="F111" s="32">
        <v>1.0580200379017084</v>
      </c>
      <c r="G111" s="82"/>
    </row>
    <row r="112" spans="1:7" x14ac:dyDescent="0.25">
      <c r="A112" s="75">
        <v>40940</v>
      </c>
      <c r="B112" s="142">
        <f t="shared" si="4"/>
        <v>2012</v>
      </c>
      <c r="C112" s="71">
        <v>41258776.923076928</v>
      </c>
      <c r="D112" s="118">
        <f>+WMP!B28*F112</f>
        <v>339299.37667020387</v>
      </c>
      <c r="E112" s="82"/>
      <c r="F112" s="32">
        <v>1.0580200379017084</v>
      </c>
      <c r="G112" s="82"/>
    </row>
    <row r="113" spans="1:7" x14ac:dyDescent="0.25">
      <c r="A113" s="75">
        <v>40969</v>
      </c>
      <c r="B113" s="142">
        <f t="shared" si="4"/>
        <v>2012</v>
      </c>
      <c r="C113" s="71">
        <v>40820361.538461544</v>
      </c>
      <c r="D113" s="118">
        <f>+WMP!B29*F113</f>
        <v>378123.30557880283</v>
      </c>
      <c r="E113" s="82"/>
      <c r="F113" s="32">
        <v>1.0580200379017084</v>
      </c>
      <c r="G113" s="82"/>
    </row>
    <row r="114" spans="1:7" x14ac:dyDescent="0.25">
      <c r="A114" s="75">
        <v>41000</v>
      </c>
      <c r="B114" s="142">
        <f t="shared" si="4"/>
        <v>2012</v>
      </c>
      <c r="C114" s="71">
        <v>38841930.769230776</v>
      </c>
      <c r="D114" s="118">
        <f>+WMP!B30*F114</f>
        <v>358426.38987779547</v>
      </c>
      <c r="E114" s="82"/>
      <c r="F114" s="32">
        <v>1.0580200379017084</v>
      </c>
      <c r="G114" s="82"/>
    </row>
    <row r="115" spans="1:7" x14ac:dyDescent="0.25">
      <c r="A115" s="75">
        <v>41030</v>
      </c>
      <c r="B115" s="142">
        <f t="shared" si="4"/>
        <v>2012</v>
      </c>
      <c r="C115" s="71">
        <v>40032218.18181818</v>
      </c>
      <c r="D115" s="118">
        <f>+WMP!B31*F115</f>
        <v>410296.94373716693</v>
      </c>
      <c r="E115" s="82"/>
      <c r="F115" s="32">
        <v>1.0580200379017084</v>
      </c>
      <c r="G115" s="82"/>
    </row>
    <row r="116" spans="1:7" x14ac:dyDescent="0.25">
      <c r="A116" s="75">
        <v>41061</v>
      </c>
      <c r="B116" s="142">
        <f t="shared" si="4"/>
        <v>2012</v>
      </c>
      <c r="C116" s="71">
        <v>45247672.727272727</v>
      </c>
      <c r="D116" s="118">
        <f>+WMP!B32*F116</f>
        <v>427929.35551841708</v>
      </c>
      <c r="E116" s="82"/>
      <c r="F116" s="32">
        <v>1.0580200379017084</v>
      </c>
      <c r="G116" s="82"/>
    </row>
    <row r="117" spans="1:7" x14ac:dyDescent="0.25">
      <c r="A117" s="75">
        <v>41091</v>
      </c>
      <c r="B117" s="142">
        <f t="shared" si="4"/>
        <v>2012</v>
      </c>
      <c r="C117" s="71">
        <v>51327900</v>
      </c>
      <c r="D117" s="118">
        <f>+WMP!B33*F117</f>
        <v>403078.17882056732</v>
      </c>
      <c r="E117" s="82"/>
      <c r="F117" s="32">
        <v>1.0580200379017084</v>
      </c>
      <c r="G117" s="82"/>
    </row>
    <row r="118" spans="1:7" x14ac:dyDescent="0.25">
      <c r="A118" s="75">
        <v>41122</v>
      </c>
      <c r="B118" s="142">
        <f t="shared" si="4"/>
        <v>2012</v>
      </c>
      <c r="C118" s="71">
        <v>45780536.36363636</v>
      </c>
      <c r="D118" s="118">
        <f>+WMP!B34*F118</f>
        <v>538169.78510818677</v>
      </c>
      <c r="E118" s="82"/>
      <c r="F118" s="32">
        <v>1.0580200379017084</v>
      </c>
      <c r="G118" s="82"/>
    </row>
    <row r="119" spans="1:7" x14ac:dyDescent="0.25">
      <c r="A119" s="75">
        <v>41153</v>
      </c>
      <c r="B119" s="142">
        <f t="shared" si="4"/>
        <v>2012</v>
      </c>
      <c r="C119" s="71">
        <v>39949536.36363636</v>
      </c>
      <c r="D119" s="118">
        <f>+WMP!B35*F119</f>
        <v>400179.9868515447</v>
      </c>
      <c r="E119" s="82"/>
      <c r="F119" s="32">
        <v>1.0580200379017084</v>
      </c>
      <c r="G119" s="82"/>
    </row>
    <row r="120" spans="1:7" x14ac:dyDescent="0.25">
      <c r="A120" s="75">
        <v>41183</v>
      </c>
      <c r="B120" s="142">
        <f t="shared" si="4"/>
        <v>2012</v>
      </c>
      <c r="C120" s="71">
        <v>40186490.909090906</v>
      </c>
      <c r="D120" s="118">
        <f>+WMP!B36*F120</f>
        <v>386890.96951008902</v>
      </c>
      <c r="E120" s="82"/>
      <c r="F120" s="32">
        <v>1.0580200379017084</v>
      </c>
      <c r="G120" s="82"/>
    </row>
    <row r="121" spans="1:7" x14ac:dyDescent="0.25">
      <c r="A121" s="75">
        <v>41214</v>
      </c>
      <c r="B121" s="142">
        <f t="shared" si="4"/>
        <v>2012</v>
      </c>
      <c r="C121" s="71">
        <v>40724163.636363633</v>
      </c>
      <c r="D121" s="118">
        <f>+WMP!B37*F121</f>
        <v>372750.95491154783</v>
      </c>
      <c r="E121" s="82"/>
      <c r="F121" s="32">
        <v>1.0580200379017084</v>
      </c>
      <c r="G121" s="82"/>
    </row>
    <row r="122" spans="1:7" x14ac:dyDescent="0.25">
      <c r="A122" s="75">
        <v>41244</v>
      </c>
      <c r="B122" s="142">
        <f t="shared" si="4"/>
        <v>2012</v>
      </c>
      <c r="C122" s="71">
        <v>42599045.454545446</v>
      </c>
      <c r="D122" s="118">
        <f>+WMP!B38*F122</f>
        <v>407691.37895022717</v>
      </c>
      <c r="E122" s="82"/>
      <c r="F122" s="32">
        <v>1.0580200379017084</v>
      </c>
      <c r="G122" s="82"/>
    </row>
    <row r="123" spans="1:7" x14ac:dyDescent="0.25">
      <c r="A123" s="75">
        <v>41275</v>
      </c>
      <c r="B123" s="142">
        <f t="shared" si="4"/>
        <v>2013</v>
      </c>
      <c r="C123" s="71">
        <v>44937375</v>
      </c>
      <c r="D123" s="118">
        <f>+WMP!B39*F123</f>
        <v>398742.48257928336</v>
      </c>
      <c r="E123" s="82"/>
      <c r="F123" s="32">
        <v>1.0562276330921134</v>
      </c>
      <c r="G123" s="82"/>
    </row>
    <row r="124" spans="1:7" x14ac:dyDescent="0.25">
      <c r="A124" s="75">
        <v>41306</v>
      </c>
      <c r="B124" s="142">
        <f t="shared" si="4"/>
        <v>2013</v>
      </c>
      <c r="C124" s="71">
        <v>40978383.333333336</v>
      </c>
      <c r="D124" s="118">
        <f>+WMP!B40*F124</f>
        <v>345743.62051980384</v>
      </c>
      <c r="E124" s="82"/>
      <c r="F124" s="32">
        <v>1.0562276330921134</v>
      </c>
      <c r="G124" s="82"/>
    </row>
    <row r="125" spans="1:7" x14ac:dyDescent="0.25">
      <c r="A125" s="75">
        <v>41334</v>
      </c>
      <c r="B125" s="142">
        <f t="shared" si="4"/>
        <v>2013</v>
      </c>
      <c r="C125" s="71">
        <v>42439533.333333336</v>
      </c>
      <c r="D125" s="118">
        <f>+WMP!B41*F125</f>
        <v>382887.52351487195</v>
      </c>
      <c r="E125" s="82"/>
      <c r="F125" s="32">
        <v>1.0562276330921134</v>
      </c>
      <c r="G125" s="82"/>
    </row>
    <row r="126" spans="1:7" x14ac:dyDescent="0.25">
      <c r="A126" s="75">
        <v>41365</v>
      </c>
      <c r="B126" s="142">
        <f t="shared" si="4"/>
        <v>2013</v>
      </c>
      <c r="C126" s="71">
        <v>39718616.666666664</v>
      </c>
      <c r="D126" s="118">
        <f>+WMP!B42*F126</f>
        <v>379737.28235006944</v>
      </c>
      <c r="E126" s="82"/>
      <c r="F126" s="32">
        <v>1.0562276330921134</v>
      </c>
      <c r="G126" s="82"/>
    </row>
    <row r="127" spans="1:7" x14ac:dyDescent="0.25">
      <c r="A127" s="75">
        <v>41395</v>
      </c>
      <c r="B127" s="142">
        <f t="shared" si="4"/>
        <v>2013</v>
      </c>
      <c r="C127" s="71">
        <v>40198400.000000007</v>
      </c>
      <c r="D127" s="118">
        <f>+WMP!B43*F127</f>
        <v>419998.04971673439</v>
      </c>
      <c r="E127" s="82"/>
      <c r="F127" s="32">
        <v>1.0562276330921134</v>
      </c>
      <c r="G127" s="82"/>
    </row>
    <row r="128" spans="1:7" x14ac:dyDescent="0.25">
      <c r="A128" s="75">
        <v>41426</v>
      </c>
      <c r="B128" s="142">
        <f t="shared" si="4"/>
        <v>2013</v>
      </c>
      <c r="C128" s="71">
        <v>43010141.666666672</v>
      </c>
      <c r="D128" s="118">
        <f>+WMP!B44*F128</f>
        <v>430056.66390081553</v>
      </c>
      <c r="E128" s="82"/>
      <c r="F128" s="32">
        <v>1.0562276330921134</v>
      </c>
      <c r="G128" s="82"/>
    </row>
    <row r="129" spans="1:7" x14ac:dyDescent="0.25">
      <c r="A129" s="75">
        <v>41456</v>
      </c>
      <c r="B129" s="142">
        <f t="shared" si="4"/>
        <v>2013</v>
      </c>
      <c r="C129" s="71">
        <v>48990725.000000007</v>
      </c>
      <c r="D129" s="118">
        <f>+WMP!B45*F129</f>
        <v>469750.45883631299</v>
      </c>
      <c r="E129" s="82"/>
      <c r="F129" s="32">
        <v>1.0562276330921134</v>
      </c>
      <c r="G129" s="82"/>
    </row>
    <row r="130" spans="1:7" x14ac:dyDescent="0.25">
      <c r="A130" s="75">
        <v>41487</v>
      </c>
      <c r="B130" s="142">
        <f t="shared" si="4"/>
        <v>2013</v>
      </c>
      <c r="C130" s="71">
        <v>46219941.666666672</v>
      </c>
      <c r="D130" s="118">
        <f>+WMP!B46*F130</f>
        <v>459366.37866937078</v>
      </c>
      <c r="E130" s="82"/>
      <c r="F130" s="32">
        <v>1.0562276330921134</v>
      </c>
      <c r="G130" s="82"/>
    </row>
    <row r="131" spans="1:7" x14ac:dyDescent="0.25">
      <c r="A131" s="75">
        <v>41518</v>
      </c>
      <c r="B131" s="142">
        <f t="shared" si="4"/>
        <v>2013</v>
      </c>
      <c r="C131" s="71">
        <v>41314550</v>
      </c>
      <c r="D131" s="118">
        <f>+WMP!B47*F131</f>
        <v>413458.89162887941</v>
      </c>
      <c r="E131" s="82"/>
      <c r="F131" s="32">
        <v>1.0562276330921134</v>
      </c>
      <c r="G131" s="82"/>
    </row>
    <row r="132" spans="1:7" x14ac:dyDescent="0.25">
      <c r="A132" s="75">
        <v>41548</v>
      </c>
      <c r="B132" s="142">
        <f t="shared" ref="B132:B195" si="5">YEAR(A132)</f>
        <v>2013</v>
      </c>
      <c r="C132" s="71">
        <v>41949783.333333336</v>
      </c>
      <c r="D132" s="118">
        <f>+WMP!B48*F132</f>
        <v>398965.38885897113</v>
      </c>
      <c r="E132" s="82"/>
      <c r="F132" s="32">
        <v>1.0562276330921134</v>
      </c>
      <c r="G132" s="82"/>
    </row>
    <row r="133" spans="1:7" x14ac:dyDescent="0.25">
      <c r="A133" s="75">
        <v>41579</v>
      </c>
      <c r="B133" s="142">
        <f t="shared" si="5"/>
        <v>2013</v>
      </c>
      <c r="C133" s="71">
        <v>43942525</v>
      </c>
      <c r="D133" s="118">
        <f>+WMP!B49*F133</f>
        <v>374272.96262620168</v>
      </c>
      <c r="E133" s="82"/>
      <c r="F133" s="32">
        <v>1.0562276330921134</v>
      </c>
      <c r="G133" s="82"/>
    </row>
    <row r="134" spans="1:7" x14ac:dyDescent="0.25">
      <c r="A134" s="75">
        <v>41609</v>
      </c>
      <c r="B134" s="142">
        <f t="shared" si="5"/>
        <v>2013</v>
      </c>
      <c r="C134" s="71">
        <v>44817991.666666664</v>
      </c>
      <c r="D134" s="118">
        <f>+WMP!B50*F134</f>
        <v>391474.16830719967</v>
      </c>
      <c r="E134" s="82"/>
      <c r="F134" s="32">
        <v>1.0562276330921134</v>
      </c>
      <c r="G134" s="82"/>
    </row>
    <row r="135" spans="1:7" x14ac:dyDescent="0.25">
      <c r="A135" s="75">
        <v>41640</v>
      </c>
      <c r="B135" s="142">
        <f t="shared" si="5"/>
        <v>2014</v>
      </c>
      <c r="C135" s="71">
        <v>49818208.333333336</v>
      </c>
      <c r="D135" s="118">
        <f>+WMP!B51*F135</f>
        <v>390182.78346720006</v>
      </c>
      <c r="E135" s="82"/>
      <c r="F135" s="32">
        <v>1.064638331468406</v>
      </c>
      <c r="G135" s="82"/>
    </row>
    <row r="136" spans="1:7" x14ac:dyDescent="0.25">
      <c r="A136" s="75">
        <v>41671</v>
      </c>
      <c r="B136" s="142">
        <f t="shared" si="5"/>
        <v>2014</v>
      </c>
      <c r="C136" s="71">
        <v>43710325</v>
      </c>
      <c r="D136" s="118">
        <f>+WMP!B52*F136</f>
        <v>344560.65682029963</v>
      </c>
      <c r="E136" s="82"/>
      <c r="F136" s="32">
        <v>1.064638331468406</v>
      </c>
      <c r="G136" s="82"/>
    </row>
    <row r="137" spans="1:7" x14ac:dyDescent="0.25">
      <c r="A137" s="75">
        <v>41699</v>
      </c>
      <c r="B137" s="142">
        <f t="shared" si="5"/>
        <v>2014</v>
      </c>
      <c r="C137" s="71">
        <v>46032208.333333336</v>
      </c>
      <c r="D137" s="118">
        <f>+WMP!B53*F137</f>
        <v>369722.30849984067</v>
      </c>
      <c r="E137" s="82"/>
      <c r="F137" s="32">
        <v>1.064638331468406</v>
      </c>
      <c r="G137" s="82"/>
    </row>
    <row r="138" spans="1:7" x14ac:dyDescent="0.25">
      <c r="A138" s="75">
        <v>41730</v>
      </c>
      <c r="B138" s="142">
        <f t="shared" si="5"/>
        <v>2014</v>
      </c>
      <c r="C138" s="71">
        <v>40510400.000000007</v>
      </c>
      <c r="D138" s="118">
        <f>+WMP!B54*F138</f>
        <v>364211.69791062688</v>
      </c>
      <c r="E138" s="82"/>
      <c r="F138" s="32">
        <v>1.064638331468406</v>
      </c>
      <c r="G138" s="82"/>
    </row>
    <row r="139" spans="1:7" x14ac:dyDescent="0.25">
      <c r="A139" s="75">
        <v>41760</v>
      </c>
      <c r="B139" s="142">
        <f t="shared" si="5"/>
        <v>2014</v>
      </c>
      <c r="C139" s="71">
        <v>40106715.384615391</v>
      </c>
      <c r="D139" s="118">
        <f>+WMP!B55*F139</f>
        <v>407712.04294844402</v>
      </c>
      <c r="E139" s="82"/>
      <c r="F139" s="32">
        <v>1.064638331468406</v>
      </c>
      <c r="G139" s="82"/>
    </row>
    <row r="140" spans="1:7" x14ac:dyDescent="0.25">
      <c r="A140" s="75">
        <v>41791</v>
      </c>
      <c r="B140" s="142">
        <f t="shared" si="5"/>
        <v>2014</v>
      </c>
      <c r="C140" s="71">
        <v>44371569.230769232</v>
      </c>
      <c r="D140" s="118">
        <f>+WMP!B56*F140</f>
        <v>434286.40581554372</v>
      </c>
      <c r="E140" s="82"/>
      <c r="F140" s="32">
        <v>1.064638331468406</v>
      </c>
      <c r="G140" s="82"/>
    </row>
    <row r="141" spans="1:7" x14ac:dyDescent="0.25">
      <c r="A141" s="75">
        <v>41821</v>
      </c>
      <c r="B141" s="142">
        <f t="shared" si="5"/>
        <v>2014</v>
      </c>
      <c r="C141" s="71">
        <v>45905092.307692312</v>
      </c>
      <c r="D141" s="118">
        <f>+WMP!B57*F141</f>
        <v>447810.8365780696</v>
      </c>
      <c r="E141" s="82"/>
      <c r="F141" s="32">
        <v>1.064638331468406</v>
      </c>
      <c r="G141" s="82"/>
    </row>
    <row r="142" spans="1:7" x14ac:dyDescent="0.25">
      <c r="A142" s="75">
        <v>41852</v>
      </c>
      <c r="B142" s="142">
        <f t="shared" si="5"/>
        <v>2014</v>
      </c>
      <c r="C142" s="71">
        <v>45108330.769230776</v>
      </c>
      <c r="D142" s="118">
        <f>+WMP!B58*F142</f>
        <v>449619.84873813408</v>
      </c>
      <c r="E142" s="82"/>
      <c r="F142" s="32">
        <v>1.064638331468406</v>
      </c>
      <c r="G142" s="82"/>
    </row>
    <row r="143" spans="1:7" x14ac:dyDescent="0.25">
      <c r="A143" s="75">
        <v>41883</v>
      </c>
      <c r="B143" s="142">
        <f t="shared" si="5"/>
        <v>2014</v>
      </c>
      <c r="C143" s="71">
        <v>42012569.230769232</v>
      </c>
      <c r="D143" s="118">
        <f>+WMP!B59*F143</f>
        <v>409967.99028005893</v>
      </c>
      <c r="E143" s="82"/>
      <c r="F143" s="32">
        <v>1.064638331468406</v>
      </c>
      <c r="G143" s="82"/>
    </row>
    <row r="144" spans="1:7" x14ac:dyDescent="0.25">
      <c r="A144" s="75">
        <v>41913</v>
      </c>
      <c r="B144" s="142">
        <f t="shared" si="5"/>
        <v>2014</v>
      </c>
      <c r="C144" s="71">
        <v>41451569.230769232</v>
      </c>
      <c r="D144" s="118">
        <f>+WMP!B60*F144</f>
        <v>387948.04373114801</v>
      </c>
      <c r="E144" s="135"/>
      <c r="F144" s="32">
        <v>1.064638331468406</v>
      </c>
      <c r="G144" s="82"/>
    </row>
    <row r="145" spans="1:7" x14ac:dyDescent="0.25">
      <c r="A145" s="75">
        <v>41944</v>
      </c>
      <c r="B145" s="142">
        <f t="shared" si="5"/>
        <v>2014</v>
      </c>
      <c r="C145" s="71">
        <v>43930638.461538464</v>
      </c>
      <c r="D145" s="118">
        <f>+WMP!B61*F145</f>
        <v>361048.33803633484</v>
      </c>
      <c r="E145" s="135"/>
      <c r="F145" s="32">
        <v>1.064638331468406</v>
      </c>
      <c r="G145" s="82"/>
    </row>
    <row r="146" spans="1:7" x14ac:dyDescent="0.25">
      <c r="A146" s="75">
        <v>41974</v>
      </c>
      <c r="B146" s="142">
        <f t="shared" si="5"/>
        <v>2014</v>
      </c>
      <c r="C146" s="71">
        <f>46542.09*1000</f>
        <v>46542090</v>
      </c>
      <c r="D146" s="118">
        <f>+WMP!B62*F146</f>
        <v>387177.47979959776</v>
      </c>
      <c r="E146" s="135"/>
      <c r="F146" s="32">
        <v>1.064638331468406</v>
      </c>
      <c r="G146" s="82"/>
    </row>
    <row r="147" spans="1:7" x14ac:dyDescent="0.25">
      <c r="A147" s="75">
        <v>42005</v>
      </c>
      <c r="B147" s="142">
        <f t="shared" si="5"/>
        <v>2015</v>
      </c>
      <c r="C147" s="209">
        <v>48816492.307692312</v>
      </c>
      <c r="D147" s="118">
        <f>+WMP!B63*F147</f>
        <v>362427.56525563047</v>
      </c>
      <c r="E147" s="135"/>
      <c r="F147" s="32">
        <v>1.0364569607823262</v>
      </c>
      <c r="G147" s="118"/>
    </row>
    <row r="148" spans="1:7" x14ac:dyDescent="0.25">
      <c r="A148" s="75">
        <v>42036</v>
      </c>
      <c r="B148" s="142">
        <f t="shared" si="5"/>
        <v>2015</v>
      </c>
      <c r="C148" s="209">
        <v>45756884.615384616</v>
      </c>
      <c r="D148" s="118">
        <f>+WMP!B64*F148</f>
        <v>322990.48154355906</v>
      </c>
      <c r="E148" s="135"/>
      <c r="F148" s="32">
        <v>1.0364569607823262</v>
      </c>
      <c r="G148" s="118"/>
    </row>
    <row r="149" spans="1:7" x14ac:dyDescent="0.25">
      <c r="A149" s="75">
        <v>42064</v>
      </c>
      <c r="B149" s="142">
        <f t="shared" si="5"/>
        <v>2015</v>
      </c>
      <c r="C149" s="209">
        <v>45128223.07692308</v>
      </c>
      <c r="D149" s="118">
        <f>+WMP!B65*F149</f>
        <v>350937.04062846134</v>
      </c>
      <c r="E149" s="135"/>
      <c r="F149" s="32">
        <v>1.0364569607823262</v>
      </c>
      <c r="G149" s="118"/>
    </row>
    <row r="150" spans="1:7" x14ac:dyDescent="0.25">
      <c r="A150" s="75">
        <v>42095</v>
      </c>
      <c r="B150" s="142">
        <f t="shared" si="5"/>
        <v>2015</v>
      </c>
      <c r="C150" s="209">
        <v>39795161.538461536</v>
      </c>
      <c r="D150" s="118">
        <f>+WMP!B66*F150</f>
        <v>343438.7201936944</v>
      </c>
      <c r="E150" s="135"/>
      <c r="F150" s="32">
        <v>1.0364569607823262</v>
      </c>
      <c r="G150" s="118"/>
    </row>
    <row r="151" spans="1:7" x14ac:dyDescent="0.25">
      <c r="A151" s="75">
        <v>42125</v>
      </c>
      <c r="B151" s="142">
        <f t="shared" si="5"/>
        <v>2015</v>
      </c>
      <c r="C151" s="209">
        <v>41355323.07692308</v>
      </c>
      <c r="D151" s="118">
        <f>+WMP!B67*F151</f>
        <v>401949.59698020766</v>
      </c>
      <c r="E151" s="135"/>
      <c r="F151" s="32">
        <v>1.0364569607823262</v>
      </c>
      <c r="G151" s="118"/>
    </row>
    <row r="152" spans="1:7" x14ac:dyDescent="0.25">
      <c r="A152" s="75">
        <v>42156</v>
      </c>
      <c r="B152" s="142">
        <f t="shared" si="5"/>
        <v>2015</v>
      </c>
      <c r="C152" s="209">
        <v>42250830.769230776</v>
      </c>
      <c r="D152" s="118">
        <f>+WMP!B68*F152</f>
        <v>402428.42973151943</v>
      </c>
      <c r="E152" s="135"/>
      <c r="F152" s="32">
        <v>1.0364569607823262</v>
      </c>
      <c r="G152" s="118"/>
    </row>
    <row r="153" spans="1:7" x14ac:dyDescent="0.25">
      <c r="A153" s="75">
        <v>42186</v>
      </c>
      <c r="B153" s="142">
        <f t="shared" si="5"/>
        <v>2015</v>
      </c>
      <c r="C153" s="209">
        <v>48484707.692307696</v>
      </c>
      <c r="D153" s="118">
        <f>+WMP!B69*F153</f>
        <v>431244.74203963188</v>
      </c>
      <c r="E153" s="135"/>
      <c r="F153" s="32">
        <v>1.0364569607823262</v>
      </c>
      <c r="G153" s="118"/>
    </row>
    <row r="154" spans="1:7" x14ac:dyDescent="0.25">
      <c r="A154" s="75">
        <v>42217</v>
      </c>
      <c r="B154" s="142">
        <f t="shared" si="5"/>
        <v>2015</v>
      </c>
      <c r="C154" s="209">
        <v>45724546.15384616</v>
      </c>
      <c r="D154" s="118">
        <f>+WMP!B70*F154</f>
        <v>423198.3949868512</v>
      </c>
      <c r="E154" s="135"/>
      <c r="F154" s="32">
        <v>1.0364569607823262</v>
      </c>
      <c r="G154" s="118"/>
    </row>
    <row r="155" spans="1:7" x14ac:dyDescent="0.25">
      <c r="A155" s="75">
        <v>42248</v>
      </c>
      <c r="B155" s="142">
        <f t="shared" si="5"/>
        <v>2015</v>
      </c>
      <c r="C155" s="209">
        <v>44512200</v>
      </c>
      <c r="D155" s="118">
        <f>+WMP!B71*F155</f>
        <v>402469.8154579635</v>
      </c>
      <c r="E155" s="135"/>
      <c r="F155" s="32">
        <v>1.0364569607823262</v>
      </c>
      <c r="G155" s="118"/>
    </row>
    <row r="156" spans="1:7" x14ac:dyDescent="0.25">
      <c r="A156" s="75">
        <v>42278</v>
      </c>
      <c r="B156" s="142">
        <f t="shared" si="5"/>
        <v>2015</v>
      </c>
      <c r="C156" s="209">
        <v>40212553.846153848</v>
      </c>
      <c r="D156" s="118">
        <f>+WMP!B72*F156</f>
        <v>356482.57250341837</v>
      </c>
      <c r="E156" s="135"/>
      <c r="F156" s="32">
        <v>1.0364569607823262</v>
      </c>
      <c r="G156" s="118"/>
    </row>
    <row r="157" spans="1:7" x14ac:dyDescent="0.25">
      <c r="A157" s="75">
        <v>42309</v>
      </c>
      <c r="B157" s="142">
        <f t="shared" si="5"/>
        <v>2015</v>
      </c>
      <c r="C157" s="209">
        <v>40228438.461538464</v>
      </c>
      <c r="D157" s="118">
        <f>+WMP!B73*F157</f>
        <v>310868.38150276762</v>
      </c>
      <c r="E157" s="135"/>
      <c r="F157" s="32">
        <v>1.0364569607823262</v>
      </c>
      <c r="G157" s="118"/>
    </row>
    <row r="158" spans="1:7" x14ac:dyDescent="0.25">
      <c r="A158" s="75">
        <v>42339</v>
      </c>
      <c r="B158" s="142">
        <f t="shared" si="5"/>
        <v>2015</v>
      </c>
      <c r="C158" s="209">
        <v>42116161.538461544</v>
      </c>
      <c r="D158" s="118">
        <f>+WMP!B74*F158</f>
        <v>343804.16455349658</v>
      </c>
      <c r="E158" s="135"/>
      <c r="F158" s="32">
        <v>1.0364569607823262</v>
      </c>
      <c r="G158" s="118"/>
    </row>
    <row r="159" spans="1:7" x14ac:dyDescent="0.25">
      <c r="A159" s="75">
        <v>42370</v>
      </c>
      <c r="B159" s="142">
        <f t="shared" si="5"/>
        <v>2016</v>
      </c>
      <c r="C159" s="209">
        <v>45315053.846153848</v>
      </c>
      <c r="D159" s="118">
        <f>+WMP!B75*F159</f>
        <v>337749.23526122357</v>
      </c>
      <c r="E159" s="135"/>
      <c r="F159" s="32">
        <v>1.0444334224561194</v>
      </c>
      <c r="G159" s="118"/>
    </row>
    <row r="160" spans="1:7" x14ac:dyDescent="0.25">
      <c r="A160" s="75">
        <v>42401</v>
      </c>
      <c r="B160" s="142">
        <f t="shared" si="5"/>
        <v>2016</v>
      </c>
      <c r="C160" s="209">
        <v>41541076.923076928</v>
      </c>
      <c r="D160" s="118">
        <f>+WMP!B76*F160</f>
        <v>320958.24468009436</v>
      </c>
      <c r="E160" s="135"/>
      <c r="F160" s="32">
        <v>1.0444334224561194</v>
      </c>
      <c r="G160" s="118"/>
    </row>
    <row r="161" spans="1:7" x14ac:dyDescent="0.25">
      <c r="A161" s="75">
        <v>42430</v>
      </c>
      <c r="B161" s="142">
        <f t="shared" si="5"/>
        <v>2016</v>
      </c>
      <c r="C161" s="209">
        <v>41395176.923076928</v>
      </c>
      <c r="D161" s="118">
        <f>+WMP!B77*F161</f>
        <v>327852.67503373791</v>
      </c>
      <c r="E161" s="135"/>
      <c r="F161" s="32">
        <v>1.0444334224561194</v>
      </c>
      <c r="G161" s="118"/>
    </row>
    <row r="162" spans="1:7" x14ac:dyDescent="0.25">
      <c r="A162" s="75">
        <v>42461</v>
      </c>
      <c r="B162" s="142">
        <f t="shared" si="5"/>
        <v>2016</v>
      </c>
      <c r="C162" s="209">
        <v>39414946.15384616</v>
      </c>
      <c r="D162" s="118">
        <f>+WMP!B78*F162</f>
        <v>330631.5781521984</v>
      </c>
      <c r="E162" s="135"/>
      <c r="F162" s="32">
        <v>1.0444334224561194</v>
      </c>
      <c r="G162" s="118"/>
    </row>
    <row r="163" spans="1:7" x14ac:dyDescent="0.25">
      <c r="A163" s="75">
        <v>42491</v>
      </c>
      <c r="B163" s="142">
        <f t="shared" si="5"/>
        <v>2016</v>
      </c>
      <c r="C163" s="209">
        <v>40694476.923076928</v>
      </c>
      <c r="D163" s="118">
        <f>+WMP!B79*F163</f>
        <v>372769.66235455958</v>
      </c>
      <c r="E163" s="135"/>
      <c r="F163" s="32">
        <v>1.0444334224561194</v>
      </c>
      <c r="G163" s="118"/>
    </row>
    <row r="164" spans="1:7" x14ac:dyDescent="0.25">
      <c r="A164" s="75">
        <v>42522</v>
      </c>
      <c r="B164" s="142">
        <f t="shared" si="5"/>
        <v>2016</v>
      </c>
      <c r="C164" s="209">
        <v>44076992.307692304</v>
      </c>
      <c r="D164" s="118">
        <f>+WMP!B80*F164</f>
        <v>387102.77731828851</v>
      </c>
      <c r="E164" s="135"/>
      <c r="F164" s="32">
        <v>1.0444334224561194</v>
      </c>
      <c r="G164" s="118"/>
    </row>
    <row r="165" spans="1:7" x14ac:dyDescent="0.25">
      <c r="A165" s="75">
        <v>42552</v>
      </c>
      <c r="B165" s="142">
        <f t="shared" si="5"/>
        <v>2016</v>
      </c>
      <c r="C165" s="209">
        <v>50187092.307692312</v>
      </c>
      <c r="D165" s="118">
        <f>+WMP!B81*F165</f>
        <v>423836.34677714237</v>
      </c>
      <c r="E165" s="135"/>
      <c r="F165" s="32">
        <v>1.0444334224561194</v>
      </c>
      <c r="G165" s="118"/>
    </row>
    <row r="166" spans="1:7" x14ac:dyDescent="0.25">
      <c r="A166" s="75">
        <v>42583</v>
      </c>
      <c r="B166" s="142">
        <f t="shared" si="5"/>
        <v>2016</v>
      </c>
      <c r="C166" s="209">
        <v>52272200</v>
      </c>
      <c r="D166" s="118">
        <f>+WMP!B82*F166</f>
        <v>434756.92175367515</v>
      </c>
      <c r="E166" s="135"/>
      <c r="F166" s="32">
        <v>1.0444334224561194</v>
      </c>
      <c r="G166" s="118"/>
    </row>
    <row r="167" spans="1:7" x14ac:dyDescent="0.25">
      <c r="A167" s="75">
        <v>42614</v>
      </c>
      <c r="B167" s="142">
        <f t="shared" si="5"/>
        <v>2016</v>
      </c>
      <c r="C167" s="209">
        <v>42823330.769230776</v>
      </c>
      <c r="D167" s="118">
        <f>+WMP!B83*F167</f>
        <v>383992.91413692007</v>
      </c>
      <c r="E167" s="135"/>
      <c r="F167" s="32">
        <v>1.0444334224561194</v>
      </c>
      <c r="G167" s="118"/>
    </row>
    <row r="168" spans="1:7" x14ac:dyDescent="0.25">
      <c r="A168" s="75">
        <v>42644</v>
      </c>
      <c r="B168" s="142">
        <f t="shared" si="5"/>
        <v>2016</v>
      </c>
      <c r="C168" s="209">
        <v>39617084.615384616</v>
      </c>
      <c r="D168" s="118">
        <f>+WMP!B84*F168</f>
        <v>346291.23845012311</v>
      </c>
      <c r="E168" s="135"/>
      <c r="F168" s="32">
        <v>1.0444334224561194</v>
      </c>
      <c r="G168" s="118"/>
    </row>
    <row r="169" spans="1:7" x14ac:dyDescent="0.25">
      <c r="A169" s="75">
        <v>42675</v>
      </c>
      <c r="B169" s="142">
        <f t="shared" si="5"/>
        <v>2016</v>
      </c>
      <c r="C169" s="209">
        <v>39695584.615384616</v>
      </c>
      <c r="D169" s="118">
        <f>+WMP!B85*F169</f>
        <v>324442.16124738124</v>
      </c>
      <c r="E169" s="135"/>
      <c r="F169" s="32">
        <v>1.0444334224561194</v>
      </c>
      <c r="G169" s="118"/>
    </row>
    <row r="170" spans="1:7" x14ac:dyDescent="0.25">
      <c r="A170" s="75">
        <v>42705</v>
      </c>
      <c r="B170" s="142">
        <f t="shared" si="5"/>
        <v>2016</v>
      </c>
      <c r="C170" s="209">
        <v>44259330.769230768</v>
      </c>
      <c r="D170" s="118">
        <f>+WMP!B86*F170</f>
        <v>327599.3059297842</v>
      </c>
      <c r="E170" s="135"/>
      <c r="F170" s="32">
        <v>1.0444334224561194</v>
      </c>
      <c r="G170" s="118"/>
    </row>
    <row r="171" spans="1:7" x14ac:dyDescent="0.25">
      <c r="A171" s="75">
        <v>42736</v>
      </c>
      <c r="B171" s="142">
        <f t="shared" si="5"/>
        <v>2017</v>
      </c>
      <c r="C171" s="209">
        <v>43933204.761904761</v>
      </c>
      <c r="D171" s="118">
        <f>+WMP!B87*F171</f>
        <v>319667.69800010102</v>
      </c>
      <c r="E171" s="135"/>
      <c r="F171" s="32">
        <v>1.0369113449502312</v>
      </c>
      <c r="G171" s="118"/>
    </row>
    <row r="172" spans="1:7" x14ac:dyDescent="0.25">
      <c r="A172" s="75">
        <v>42767</v>
      </c>
      <c r="B172" s="142">
        <f t="shared" si="5"/>
        <v>2017</v>
      </c>
      <c r="C172" s="209">
        <v>38324828.571428575</v>
      </c>
      <c r="D172" s="118">
        <f>+WMP!B88*F172</f>
        <v>289235.5943194257</v>
      </c>
      <c r="E172" s="135"/>
      <c r="F172" s="32">
        <v>1.0369113449502312</v>
      </c>
      <c r="G172" s="118"/>
    </row>
    <row r="173" spans="1:7" x14ac:dyDescent="0.25">
      <c r="A173" s="75">
        <v>42795</v>
      </c>
      <c r="B173" s="142">
        <f t="shared" si="5"/>
        <v>2017</v>
      </c>
      <c r="C173" s="209">
        <v>42750761.90476191</v>
      </c>
      <c r="D173" s="118">
        <f>+WMP!B89*F173</f>
        <v>325574.67085887905</v>
      </c>
      <c r="E173" s="135"/>
      <c r="F173" s="32">
        <v>1.0369113449502312</v>
      </c>
      <c r="G173" s="118"/>
    </row>
    <row r="174" spans="1:7" x14ac:dyDescent="0.25">
      <c r="A174" s="75">
        <v>42826</v>
      </c>
      <c r="B174" s="142">
        <f t="shared" si="5"/>
        <v>2017</v>
      </c>
      <c r="C174" s="209">
        <v>36992119.047619052</v>
      </c>
      <c r="D174" s="118">
        <f>+WMP!B90*F174</f>
        <v>323682.63946597523</v>
      </c>
      <c r="E174" s="135"/>
      <c r="F174" s="32">
        <v>1.0369113449502312</v>
      </c>
      <c r="G174" s="118"/>
    </row>
    <row r="175" spans="1:7" x14ac:dyDescent="0.25">
      <c r="A175" s="75">
        <v>42856</v>
      </c>
      <c r="B175" s="142">
        <f t="shared" si="5"/>
        <v>2017</v>
      </c>
      <c r="C175" s="209">
        <v>37865342.857142858</v>
      </c>
      <c r="D175" s="118">
        <f>+WMP!B91*F175</f>
        <v>349920.8929973187</v>
      </c>
      <c r="E175" s="135"/>
      <c r="F175" s="32">
        <v>1.0369113449502312</v>
      </c>
      <c r="G175" s="118"/>
    </row>
    <row r="176" spans="1:7" x14ac:dyDescent="0.25">
      <c r="A176" s="75">
        <v>42887</v>
      </c>
      <c r="B176" s="142">
        <f t="shared" si="5"/>
        <v>2017</v>
      </c>
      <c r="C176" s="209">
        <v>41420161.904761903</v>
      </c>
      <c r="D176" s="118">
        <f>+WMP!B92*F176</f>
        <v>373056.31375825993</v>
      </c>
      <c r="E176" s="135"/>
      <c r="F176" s="32">
        <v>1.0369113449502312</v>
      </c>
      <c r="G176" s="118"/>
    </row>
    <row r="177" spans="1:7" x14ac:dyDescent="0.25">
      <c r="A177" s="75">
        <v>42917</v>
      </c>
      <c r="B177" s="142">
        <f t="shared" si="5"/>
        <v>2017</v>
      </c>
      <c r="C177" s="209">
        <v>45550933.333333336</v>
      </c>
      <c r="D177" s="118">
        <f>+WMP!B93*F177</f>
        <v>398576.2469553891</v>
      </c>
      <c r="E177" s="135"/>
      <c r="F177" s="32">
        <v>1.0369113449502312</v>
      </c>
      <c r="G177" s="118"/>
    </row>
    <row r="178" spans="1:7" x14ac:dyDescent="0.25">
      <c r="A178" s="75">
        <v>42948</v>
      </c>
      <c r="B178" s="142">
        <f t="shared" si="5"/>
        <v>2017</v>
      </c>
      <c r="C178" s="209">
        <v>43657633.333333343</v>
      </c>
      <c r="D178" s="118">
        <f>+WMP!B94*F178</f>
        <v>397346.39751648402</v>
      </c>
      <c r="E178" s="135"/>
      <c r="F178" s="32">
        <v>1.0369113449502312</v>
      </c>
      <c r="G178" s="118"/>
    </row>
    <row r="179" spans="1:7" x14ac:dyDescent="0.25">
      <c r="A179" s="75">
        <v>42979</v>
      </c>
      <c r="B179" s="142">
        <f t="shared" si="5"/>
        <v>2017</v>
      </c>
      <c r="C179" s="209">
        <v>40733566.666666672</v>
      </c>
      <c r="D179" s="118">
        <f>+WMP!B95*F179</f>
        <v>377277.16507901438</v>
      </c>
      <c r="E179" s="135"/>
      <c r="F179" s="32">
        <v>1.0369113449502312</v>
      </c>
      <c r="G179" s="118"/>
    </row>
    <row r="180" spans="1:7" x14ac:dyDescent="0.25">
      <c r="A180" s="75">
        <v>43009</v>
      </c>
      <c r="B180" s="142">
        <f t="shared" si="5"/>
        <v>2017</v>
      </c>
      <c r="C180" s="209">
        <v>38181133.333333336</v>
      </c>
      <c r="D180" s="118">
        <f>+WMP!B96*F180</f>
        <v>358325.36015243031</v>
      </c>
      <c r="E180" s="135"/>
      <c r="F180" s="32">
        <v>1.0369113449502312</v>
      </c>
      <c r="G180" s="118"/>
    </row>
    <row r="181" spans="1:7" x14ac:dyDescent="0.25">
      <c r="A181" s="75">
        <v>43040</v>
      </c>
      <c r="B181" s="142">
        <f t="shared" si="5"/>
        <v>2017</v>
      </c>
      <c r="C181" s="209">
        <v>40325900.000000007</v>
      </c>
      <c r="D181" s="118">
        <f>+WMP!B97*F181</f>
        <v>319298.68199066014</v>
      </c>
      <c r="E181" s="135"/>
      <c r="F181" s="32">
        <v>1.0369113449502312</v>
      </c>
      <c r="G181" s="118"/>
    </row>
    <row r="182" spans="1:7" x14ac:dyDescent="0.25">
      <c r="A182" s="75">
        <v>43070</v>
      </c>
      <c r="B182" s="142">
        <f t="shared" si="5"/>
        <v>2017</v>
      </c>
      <c r="C182" s="209">
        <v>45098133.333333336</v>
      </c>
      <c r="D182" s="118">
        <f>+WMP!B98*F182</f>
        <v>325540.98160928162</v>
      </c>
      <c r="E182" s="135"/>
      <c r="F182" s="32">
        <v>1.0369113449502312</v>
      </c>
      <c r="G182" s="118"/>
    </row>
    <row r="183" spans="1:7" x14ac:dyDescent="0.25">
      <c r="A183" s="75">
        <v>43101</v>
      </c>
      <c r="B183" s="142">
        <f t="shared" si="5"/>
        <v>2018</v>
      </c>
      <c r="C183" s="209">
        <v>46074166.666666672</v>
      </c>
      <c r="D183" s="118">
        <f>+WMP!B99*F183</f>
        <v>320237.32634901511</v>
      </c>
      <c r="E183" s="135"/>
      <c r="F183" s="32">
        <v>1.0397388707304411</v>
      </c>
      <c r="G183" s="118"/>
    </row>
    <row r="184" spans="1:7" x14ac:dyDescent="0.25">
      <c r="A184" s="75">
        <v>43132</v>
      </c>
      <c r="B184" s="142">
        <f t="shared" si="5"/>
        <v>2018</v>
      </c>
      <c r="C184" s="209">
        <v>39409333.333333336</v>
      </c>
      <c r="D184" s="118">
        <f>+WMP!B100*F184</f>
        <v>284444.4508901728</v>
      </c>
      <c r="E184" s="135"/>
      <c r="F184" s="32">
        <v>1.0397388707304411</v>
      </c>
      <c r="G184" s="118"/>
    </row>
    <row r="185" spans="1:7" x14ac:dyDescent="0.25">
      <c r="A185" s="75">
        <v>43160</v>
      </c>
      <c r="B185" s="142">
        <f t="shared" si="5"/>
        <v>2018</v>
      </c>
      <c r="C185" s="209">
        <v>41669166.666666672</v>
      </c>
      <c r="D185" s="118">
        <f>+WMP!B101*F185</f>
        <v>297278.0205533196</v>
      </c>
      <c r="E185" s="135"/>
      <c r="F185" s="32">
        <v>1.0397388707304411</v>
      </c>
      <c r="G185" s="118"/>
    </row>
    <row r="186" spans="1:7" x14ac:dyDescent="0.25">
      <c r="A186" s="75">
        <v>43191</v>
      </c>
      <c r="B186" s="142">
        <f t="shared" si="5"/>
        <v>2018</v>
      </c>
      <c r="C186" s="209">
        <v>39557433.333333336</v>
      </c>
      <c r="D186" s="118">
        <f>+WMP!B102*F186</f>
        <v>292924.32197991008</v>
      </c>
      <c r="E186" s="135"/>
      <c r="F186" s="32">
        <v>1.0397388707304411</v>
      </c>
      <c r="G186" s="118"/>
    </row>
    <row r="187" spans="1:7" x14ac:dyDescent="0.25">
      <c r="A187" s="75">
        <v>43221</v>
      </c>
      <c r="B187" s="142">
        <f t="shared" si="5"/>
        <v>2018</v>
      </c>
      <c r="C187" s="209">
        <v>40201866.666666672</v>
      </c>
      <c r="D187" s="118">
        <f>+WMP!B103*F187</f>
        <v>360673.50924632017</v>
      </c>
      <c r="E187" s="135"/>
      <c r="F187" s="32">
        <v>1.0397388707304411</v>
      </c>
      <c r="G187" s="118"/>
    </row>
    <row r="188" spans="1:7" x14ac:dyDescent="0.25">
      <c r="A188" s="75">
        <v>43252</v>
      </c>
      <c r="B188" s="142">
        <f t="shared" si="5"/>
        <v>2018</v>
      </c>
      <c r="C188" s="209">
        <v>42663466.666666672</v>
      </c>
      <c r="D188" s="118">
        <f>+WMP!B104*F188</f>
        <v>364542.88705635478</v>
      </c>
      <c r="E188" s="135"/>
      <c r="F188" s="32">
        <v>1.0397388707304411</v>
      </c>
      <c r="G188" s="118"/>
    </row>
    <row r="189" spans="1:7" x14ac:dyDescent="0.25">
      <c r="A189" s="75">
        <v>43282</v>
      </c>
      <c r="B189" s="142">
        <f t="shared" si="5"/>
        <v>2018</v>
      </c>
      <c r="C189" s="209">
        <v>49594733.333333336</v>
      </c>
      <c r="D189" s="118">
        <f>+WMP!B105*F189</f>
        <v>401459.76182401151</v>
      </c>
      <c r="E189" s="135"/>
      <c r="F189" s="32">
        <v>1.0397388707304411</v>
      </c>
      <c r="G189" s="118"/>
    </row>
    <row r="190" spans="1:7" x14ac:dyDescent="0.25">
      <c r="A190" s="75">
        <v>43313</v>
      </c>
      <c r="B190" s="142">
        <f t="shared" si="5"/>
        <v>2018</v>
      </c>
      <c r="C190" s="209">
        <v>48809233.333333336</v>
      </c>
      <c r="D190" s="118">
        <f>+WMP!B106*F190</f>
        <v>402407.58777856932</v>
      </c>
      <c r="E190" s="135"/>
      <c r="F190" s="32">
        <v>1.0397388707304411</v>
      </c>
      <c r="G190" s="118"/>
    </row>
    <row r="191" spans="1:7" x14ac:dyDescent="0.25">
      <c r="A191" s="75">
        <v>43344</v>
      </c>
      <c r="B191" s="142">
        <f t="shared" si="5"/>
        <v>2018</v>
      </c>
      <c r="C191" s="209">
        <v>42308633.333333336</v>
      </c>
      <c r="D191" s="118">
        <f>+WMP!B107*F191</f>
        <v>360815.62075517158</v>
      </c>
      <c r="E191" s="135"/>
      <c r="F191" s="32">
        <v>1.0397388707304411</v>
      </c>
      <c r="G191" s="118"/>
    </row>
    <row r="192" spans="1:7" x14ac:dyDescent="0.25">
      <c r="A192" s="75">
        <v>43374</v>
      </c>
      <c r="B192" s="142">
        <f t="shared" si="5"/>
        <v>2018</v>
      </c>
      <c r="C192" s="209">
        <v>39783933.333333336</v>
      </c>
      <c r="D192" s="118">
        <f>+WMP!B108*F192</f>
        <v>324267.21904591308</v>
      </c>
      <c r="E192" s="135"/>
      <c r="F192" s="32">
        <v>1.0397388707304411</v>
      </c>
      <c r="G192" s="118"/>
    </row>
    <row r="193" spans="1:7" x14ac:dyDescent="0.25">
      <c r="A193" s="75">
        <v>43405</v>
      </c>
      <c r="B193" s="142">
        <f t="shared" si="5"/>
        <v>2018</v>
      </c>
      <c r="C193" s="209">
        <v>41666833.333333336</v>
      </c>
      <c r="D193" s="118">
        <f>+WMP!B109*F193</f>
        <v>300684.76655282278</v>
      </c>
      <c r="E193" s="135"/>
      <c r="F193" s="32">
        <v>1.0397388707304411</v>
      </c>
      <c r="G193" s="118"/>
    </row>
    <row r="194" spans="1:7" x14ac:dyDescent="0.25">
      <c r="A194" s="75">
        <v>43435</v>
      </c>
      <c r="B194" s="142">
        <f t="shared" si="5"/>
        <v>2018</v>
      </c>
      <c r="C194" s="209">
        <v>43526733.333333336</v>
      </c>
      <c r="D194" s="118">
        <f>+WMP!B110*F194</f>
        <v>315044.48572520504</v>
      </c>
      <c r="E194" s="135"/>
      <c r="F194" s="32">
        <v>1.0397388707304411</v>
      </c>
      <c r="G194" s="118"/>
    </row>
    <row r="195" spans="1:7" x14ac:dyDescent="0.25">
      <c r="A195" s="75">
        <v>43466</v>
      </c>
      <c r="B195" s="142">
        <f t="shared" si="5"/>
        <v>2019</v>
      </c>
      <c r="C195" s="209">
        <v>46152339.999999993</v>
      </c>
      <c r="D195" s="118">
        <f>+WMP!B111*F195</f>
        <v>309797.92818653339</v>
      </c>
      <c r="E195" s="135"/>
      <c r="F195" s="32">
        <v>1.0391025427543692</v>
      </c>
      <c r="G195" s="118"/>
    </row>
    <row r="196" spans="1:7" x14ac:dyDescent="0.25">
      <c r="A196" s="75">
        <v>43497</v>
      </c>
      <c r="B196" s="142">
        <f t="shared" ref="B196:B206" si="6">YEAR(A196)</f>
        <v>2019</v>
      </c>
      <c r="C196" s="209">
        <v>40751000</v>
      </c>
      <c r="D196" s="118">
        <f>+WMP!B112*F196</f>
        <v>270799.20439801225</v>
      </c>
      <c r="E196" s="135"/>
      <c r="F196" s="32">
        <v>1.0391025427543692</v>
      </c>
      <c r="G196" s="118"/>
    </row>
    <row r="197" spans="1:7" x14ac:dyDescent="0.25">
      <c r="A197" s="75">
        <v>43525</v>
      </c>
      <c r="B197" s="142">
        <f t="shared" si="6"/>
        <v>2019</v>
      </c>
      <c r="C197" s="209">
        <v>42699019.999999993</v>
      </c>
      <c r="D197" s="118">
        <f>+WMP!B113*F197</f>
        <v>295286.8300038923</v>
      </c>
      <c r="E197" s="135"/>
      <c r="F197" s="32">
        <v>1.0391025427543692</v>
      </c>
      <c r="G197" s="118"/>
    </row>
    <row r="198" spans="1:7" x14ac:dyDescent="0.25">
      <c r="A198" s="75">
        <v>43556</v>
      </c>
      <c r="B198" s="142">
        <f t="shared" si="6"/>
        <v>2019</v>
      </c>
      <c r="C198" s="209">
        <v>38635080</v>
      </c>
      <c r="D198" s="118">
        <f>+WMP!B114*F198</f>
        <v>289781.40495674399</v>
      </c>
      <c r="E198" s="135"/>
      <c r="F198" s="32">
        <v>1.0391025427543692</v>
      </c>
      <c r="G198" s="118"/>
    </row>
    <row r="199" spans="1:7" x14ac:dyDescent="0.25">
      <c r="A199" s="75">
        <v>43586</v>
      </c>
      <c r="B199" s="142">
        <f t="shared" si="6"/>
        <v>2019</v>
      </c>
      <c r="C199" s="209">
        <v>38362240</v>
      </c>
      <c r="D199" s="118">
        <f>+WMP!B115*F199</f>
        <v>314497.123961784</v>
      </c>
      <c r="E199" s="135"/>
      <c r="F199" s="32">
        <v>1.0391025427543692</v>
      </c>
      <c r="G199" s="118"/>
    </row>
    <row r="200" spans="1:7" x14ac:dyDescent="0.25">
      <c r="A200" s="75">
        <v>43617</v>
      </c>
      <c r="B200" s="142">
        <f t="shared" si="6"/>
        <v>2019</v>
      </c>
      <c r="C200" s="209">
        <v>40119440</v>
      </c>
      <c r="D200" s="118">
        <f>+WMP!B116*F200</f>
        <v>337365.23551760335</v>
      </c>
      <c r="E200" s="135"/>
      <c r="F200" s="32">
        <v>1.0391025427543692</v>
      </c>
      <c r="G200" s="118"/>
    </row>
    <row r="201" spans="1:7" x14ac:dyDescent="0.25">
      <c r="A201" s="75">
        <v>43647</v>
      </c>
      <c r="B201" s="142">
        <f t="shared" si="6"/>
        <v>2019</v>
      </c>
      <c r="C201" s="209">
        <v>50773519.999999993</v>
      </c>
      <c r="D201" s="118">
        <f>+WMP!B117*F201</f>
        <v>399065.92875638278</v>
      </c>
      <c r="E201" s="135"/>
      <c r="F201" s="32">
        <v>1.0391025427543692</v>
      </c>
      <c r="G201" s="118"/>
    </row>
    <row r="202" spans="1:7" x14ac:dyDescent="0.25">
      <c r="A202" s="75">
        <v>43678</v>
      </c>
      <c r="B202" s="142">
        <f t="shared" si="6"/>
        <v>2019</v>
      </c>
      <c r="C202" s="209">
        <v>45701140</v>
      </c>
      <c r="D202" s="118">
        <f>+WMP!B118*F202</f>
        <v>369150.47828124731</v>
      </c>
      <c r="E202" s="135"/>
      <c r="F202" s="32">
        <v>1.0391025427543692</v>
      </c>
      <c r="G202" s="118"/>
    </row>
    <row r="203" spans="1:7" x14ac:dyDescent="0.25">
      <c r="A203" s="75">
        <v>43709</v>
      </c>
      <c r="B203" s="142">
        <f t="shared" si="6"/>
        <v>2019</v>
      </c>
      <c r="C203" s="209">
        <v>39646160</v>
      </c>
      <c r="D203" s="118">
        <f>+WMP!B119*F203</f>
        <v>329892.40488908021</v>
      </c>
      <c r="E203" s="135"/>
      <c r="F203" s="32">
        <v>1.0391025427543692</v>
      </c>
      <c r="G203" s="118"/>
    </row>
    <row r="204" spans="1:7" x14ac:dyDescent="0.25">
      <c r="A204" s="75">
        <v>43739</v>
      </c>
      <c r="B204" s="142">
        <f t="shared" si="6"/>
        <v>2019</v>
      </c>
      <c r="C204" s="209">
        <v>39458460</v>
      </c>
      <c r="D204" s="118">
        <f>+WMP!B120*F204</f>
        <v>309154.27689847501</v>
      </c>
      <c r="E204" s="135"/>
      <c r="F204" s="32">
        <v>1.0391025427543692</v>
      </c>
      <c r="G204" s="118"/>
    </row>
    <row r="205" spans="1:7" x14ac:dyDescent="0.25">
      <c r="A205" s="75">
        <v>43770</v>
      </c>
      <c r="B205" s="142">
        <f t="shared" si="6"/>
        <v>2019</v>
      </c>
      <c r="C205" s="209">
        <v>42531519.999999993</v>
      </c>
      <c r="D205" s="118">
        <f>+WMP!B121*F205</f>
        <v>280826.71019199881</v>
      </c>
      <c r="E205" s="135"/>
      <c r="F205" s="32">
        <v>1.0391025427543692</v>
      </c>
      <c r="G205" s="118"/>
    </row>
    <row r="206" spans="1:7" x14ac:dyDescent="0.25">
      <c r="A206" s="75">
        <v>43800</v>
      </c>
      <c r="B206" s="142">
        <f t="shared" si="6"/>
        <v>2019</v>
      </c>
      <c r="C206" s="209">
        <v>44650100</v>
      </c>
      <c r="D206" s="118">
        <f>+WMP!B122*F206</f>
        <v>290037.12809251581</v>
      </c>
      <c r="E206" s="135"/>
      <c r="F206" s="32">
        <v>1.0391025427543692</v>
      </c>
      <c r="G206" s="118"/>
    </row>
    <row r="207" spans="1:7" x14ac:dyDescent="0.25">
      <c r="C207" s="111"/>
      <c r="E207" s="32"/>
      <c r="G207" s="82"/>
    </row>
    <row r="208" spans="1:7" x14ac:dyDescent="0.25">
      <c r="G208" s="82"/>
    </row>
    <row r="209" spans="1:11" x14ac:dyDescent="0.25">
      <c r="H209" s="250"/>
      <c r="I209" s="251"/>
      <c r="J209" s="251"/>
      <c r="K209" s="251"/>
    </row>
    <row r="210" spans="1:11" x14ac:dyDescent="0.25">
      <c r="H210" s="117"/>
      <c r="I210" s="117"/>
      <c r="J210" s="4"/>
      <c r="K210" s="4"/>
    </row>
    <row r="211" spans="1:11" x14ac:dyDescent="0.25">
      <c r="I211" s="206"/>
      <c r="J211" s="206"/>
      <c r="K211" s="140"/>
    </row>
    <row r="212" spans="1:11" x14ac:dyDescent="0.25">
      <c r="I212" s="206"/>
      <c r="J212" s="206"/>
      <c r="K212" s="140"/>
    </row>
    <row r="213" spans="1:11" x14ac:dyDescent="0.25">
      <c r="I213" s="206"/>
      <c r="J213" s="206"/>
      <c r="K213" s="140"/>
    </row>
    <row r="214" spans="1:11" x14ac:dyDescent="0.25">
      <c r="I214" s="206"/>
      <c r="J214" s="206"/>
      <c r="K214" s="140"/>
    </row>
    <row r="215" spans="1:11" x14ac:dyDescent="0.25">
      <c r="I215" s="206"/>
      <c r="J215" s="206"/>
      <c r="K215" s="140"/>
    </row>
    <row r="216" spans="1:11" x14ac:dyDescent="0.25">
      <c r="I216" s="206"/>
      <c r="J216" s="206"/>
      <c r="K216" s="140"/>
    </row>
    <row r="217" spans="1:11" x14ac:dyDescent="0.25">
      <c r="I217" s="206"/>
      <c r="J217" s="206"/>
      <c r="K217" s="140"/>
    </row>
    <row r="218" spans="1:11" x14ac:dyDescent="0.25">
      <c r="I218" s="206"/>
      <c r="J218" s="206"/>
      <c r="K218" s="140"/>
    </row>
    <row r="219" spans="1:11" x14ac:dyDescent="0.25">
      <c r="I219" s="206"/>
      <c r="J219" s="206"/>
      <c r="K219" s="140"/>
    </row>
    <row r="220" spans="1:11" x14ac:dyDescent="0.25">
      <c r="I220" s="206"/>
      <c r="J220" s="206"/>
    </row>
    <row r="222" spans="1:11" x14ac:dyDescent="0.25">
      <c r="A222" s="17"/>
      <c r="B222" s="17"/>
      <c r="C222" s="6"/>
    </row>
    <row r="223" spans="1:11" x14ac:dyDescent="0.25">
      <c r="C223" s="6"/>
    </row>
  </sheetData>
  <mergeCells count="1">
    <mergeCell ref="H209:K209"/>
  </mergeCells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2:AT250"/>
  <sheetViews>
    <sheetView view="pageBreakPreview" topLeftCell="A169" zoomScaleNormal="100" zoomScaleSheetLayoutView="100" workbookViewId="0">
      <selection activeCell="F169" sqref="F169"/>
    </sheetView>
  </sheetViews>
  <sheetFormatPr defaultColWidth="9.33203125" defaultRowHeight="13.2" x14ac:dyDescent="0.25"/>
  <cols>
    <col min="1" max="2" width="11.6640625" customWidth="1"/>
    <col min="3" max="3" width="12.33203125" style="6" customWidth="1"/>
    <col min="4" max="4" width="16.33203125" style="6" customWidth="1"/>
    <col min="5" max="5" width="18" style="6" customWidth="1"/>
    <col min="6" max="7" width="11.6640625" style="24" customWidth="1"/>
    <col min="8" max="8" width="14.44140625" style="211" customWidth="1"/>
    <col min="9" max="9" width="10.33203125" style="24" customWidth="1"/>
    <col min="10" max="10" width="12.6640625" style="24" bestFit="1" customWidth="1"/>
    <col min="11" max="11" width="12.44140625" style="24" customWidth="1"/>
    <col min="12" max="12" width="13" style="24" customWidth="1"/>
    <col min="13" max="13" width="12.33203125" style="24" bestFit="1" customWidth="1"/>
    <col min="14" max="14" width="10" style="208" hidden="1" customWidth="1"/>
    <col min="15" max="15" width="9.6640625" style="208" hidden="1" customWidth="1"/>
    <col min="16" max="16" width="11.44140625" style="208" hidden="1" customWidth="1"/>
    <col min="17" max="17" width="12.109375" style="208" hidden="1" customWidth="1"/>
    <col min="18" max="18" width="13.33203125" style="208" hidden="1" customWidth="1"/>
    <col min="19" max="19" width="13.44140625" style="208" bestFit="1" customWidth="1"/>
    <col min="20" max="20" width="15.5546875" style="208" customWidth="1"/>
    <col min="21" max="21" width="5.88671875" style="208" bestFit="1" customWidth="1"/>
    <col min="22" max="22" width="25.6640625" bestFit="1" customWidth="1"/>
    <col min="23" max="23" width="18" customWidth="1"/>
    <col min="24" max="24" width="25.6640625" bestFit="1" customWidth="1"/>
    <col min="25" max="25" width="24.33203125" bestFit="1" customWidth="1"/>
    <col min="26" max="26" width="20" customWidth="1"/>
    <col min="27" max="27" width="16.44140625" customWidth="1"/>
    <col min="28" max="28" width="15" bestFit="1" customWidth="1"/>
    <col min="29" max="29" width="11.6640625" bestFit="1" customWidth="1"/>
    <col min="30" max="30" width="12.5546875" customWidth="1"/>
    <col min="31" max="31" width="22.44140625" bestFit="1" customWidth="1"/>
    <col min="32" max="32" width="5.33203125" customWidth="1"/>
    <col min="33" max="33" width="13.33203125" customWidth="1"/>
    <col min="34" max="34" width="12.5546875" customWidth="1"/>
    <col min="35" max="35" width="12.33203125" customWidth="1"/>
    <col min="36" max="36" width="22.5546875" customWidth="1"/>
  </cols>
  <sheetData>
    <row r="2" spans="1:46" ht="39.6" x14ac:dyDescent="0.25">
      <c r="A2" s="207" t="s">
        <v>83</v>
      </c>
      <c r="B2" s="235"/>
      <c r="C2" s="65" t="s">
        <v>180</v>
      </c>
      <c r="D2" s="65" t="s">
        <v>113</v>
      </c>
      <c r="E2" s="65" t="s">
        <v>179</v>
      </c>
      <c r="F2" s="132" t="s">
        <v>3</v>
      </c>
      <c r="G2" s="132" t="s">
        <v>4</v>
      </c>
      <c r="H2" s="132" t="s">
        <v>5</v>
      </c>
      <c r="I2" s="132" t="s">
        <v>117</v>
      </c>
      <c r="J2" s="132" t="s">
        <v>6</v>
      </c>
      <c r="K2" s="132" t="s">
        <v>118</v>
      </c>
      <c r="L2" s="132" t="s">
        <v>119</v>
      </c>
      <c r="M2" s="132" t="s">
        <v>213</v>
      </c>
      <c r="N2" s="68" t="s">
        <v>66</v>
      </c>
      <c r="O2" s="68" t="s">
        <v>120</v>
      </c>
      <c r="P2" s="68" t="s">
        <v>82</v>
      </c>
      <c r="Q2" s="69" t="s">
        <v>7</v>
      </c>
      <c r="R2" s="68" t="s">
        <v>157</v>
      </c>
      <c r="S2" s="68" t="s">
        <v>12</v>
      </c>
      <c r="T2" s="68" t="s">
        <v>14</v>
      </c>
      <c r="U2" s="68"/>
      <c r="V2" s="139"/>
      <c r="AO2" s="132"/>
      <c r="AP2" s="133"/>
      <c r="AQ2" s="132"/>
      <c r="AR2" s="132"/>
      <c r="AS2" s="132"/>
      <c r="AT2" s="32"/>
    </row>
    <row r="3" spans="1:46" x14ac:dyDescent="0.25">
      <c r="A3" s="75">
        <v>40179</v>
      </c>
      <c r="B3" s="142">
        <f>YEAR(A3)</f>
        <v>2010</v>
      </c>
      <c r="C3" s="137">
        <f>'Power Purchases'!C87</f>
        <v>46477661.538461544</v>
      </c>
      <c r="D3" s="137">
        <f>'Power Purchases'!D87</f>
        <v>408795.56513611629</v>
      </c>
      <c r="E3" s="237">
        <f>C3+D3+M3</f>
        <v>47472217.096505553</v>
      </c>
      <c r="F3" s="212">
        <v>720</v>
      </c>
      <c r="G3" s="212">
        <v>0</v>
      </c>
      <c r="H3" s="137">
        <v>31</v>
      </c>
      <c r="I3" s="137">
        <v>0</v>
      </c>
      <c r="J3" s="137">
        <v>320</v>
      </c>
      <c r="K3" s="137">
        <v>0</v>
      </c>
      <c r="L3" s="137">
        <v>0</v>
      </c>
      <c r="M3" s="137">
        <f>CDM!B74</f>
        <v>585759.9929078921</v>
      </c>
      <c r="N3" s="166">
        <v>25353.750000000004</v>
      </c>
      <c r="O3" s="166">
        <v>57582.383333333346</v>
      </c>
      <c r="P3" s="129">
        <v>61.5</v>
      </c>
      <c r="Q3" s="128">
        <v>1.2107384200303233</v>
      </c>
      <c r="R3" s="166">
        <v>290</v>
      </c>
      <c r="S3" s="76">
        <f t="shared" ref="S3:S34" si="0">+$W$19+F3*$W$20+G3*$W$21+H3*$W$22+I3*$W$23+J3*$W$24+K3*$W$25+L3*$W$26+M3*$W$27</f>
        <v>46900445.379764125</v>
      </c>
      <c r="T3" s="74">
        <f>+(S3-E3)/E3</f>
        <v>-1.2044344075590185E-2</v>
      </c>
      <c r="U3"/>
      <c r="V3" t="s">
        <v>27</v>
      </c>
      <c r="AO3" s="137"/>
      <c r="AP3" s="134"/>
      <c r="AQ3" s="137"/>
      <c r="AR3" s="137"/>
      <c r="AS3" s="137"/>
      <c r="AT3" s="32"/>
    </row>
    <row r="4" spans="1:46" ht="13.8" thickBot="1" x14ac:dyDescent="0.3">
      <c r="A4" s="75">
        <v>40210</v>
      </c>
      <c r="B4" s="142">
        <f t="shared" ref="B4:B67" si="1">YEAR(A4)</f>
        <v>2010</v>
      </c>
      <c r="C4" s="137">
        <f>'Power Purchases'!C88</f>
        <v>41573169.230769232</v>
      </c>
      <c r="D4" s="137">
        <f>'Power Purchases'!D88</f>
        <v>360780.90327296266</v>
      </c>
      <c r="E4" s="237">
        <f t="shared" ref="E4:E67" si="2">C4+D4+M4</f>
        <v>42508653.650966838</v>
      </c>
      <c r="F4" s="212">
        <v>598.29999999999995</v>
      </c>
      <c r="G4" s="212">
        <v>0</v>
      </c>
      <c r="H4" s="137">
        <v>28</v>
      </c>
      <c r="I4" s="137">
        <v>0</v>
      </c>
      <c r="J4" s="137">
        <v>304</v>
      </c>
      <c r="K4" s="137">
        <v>0</v>
      </c>
      <c r="L4" s="137">
        <v>0</v>
      </c>
      <c r="M4" s="137">
        <f>CDM!B75</f>
        <v>574703.516924639</v>
      </c>
      <c r="N4" s="166">
        <v>25378.499999999993</v>
      </c>
      <c r="O4" s="166">
        <v>57644.366666666683</v>
      </c>
      <c r="P4" s="129">
        <v>61.2</v>
      </c>
      <c r="Q4" s="128">
        <v>1.2150964263303674</v>
      </c>
      <c r="R4" s="166">
        <v>305</v>
      </c>
      <c r="S4" s="76">
        <f t="shared" si="0"/>
        <v>42442408.735222235</v>
      </c>
      <c r="T4" s="74">
        <f t="shared" ref="T4:T67" si="3">+(S4-E4)/E4</f>
        <v>-1.5583865884939872E-3</v>
      </c>
      <c r="U4" s="10"/>
      <c r="AO4" s="137"/>
      <c r="AP4" s="134"/>
      <c r="AQ4" s="137"/>
      <c r="AR4" s="137"/>
      <c r="AS4" s="137"/>
      <c r="AT4" s="32"/>
    </row>
    <row r="5" spans="1:46" x14ac:dyDescent="0.25">
      <c r="A5" s="75">
        <v>40238</v>
      </c>
      <c r="B5" s="142">
        <f t="shared" si="1"/>
        <v>2010</v>
      </c>
      <c r="C5" s="137">
        <f>'Power Purchases'!C89</f>
        <v>41694323.07692308</v>
      </c>
      <c r="D5" s="137">
        <f>'Power Purchases'!D89</f>
        <v>411089.37223941408</v>
      </c>
      <c r="E5" s="237">
        <f t="shared" si="2"/>
        <v>42669059.490103878</v>
      </c>
      <c r="F5" s="212">
        <v>422.8</v>
      </c>
      <c r="G5" s="212">
        <v>0</v>
      </c>
      <c r="H5" s="137">
        <v>31</v>
      </c>
      <c r="I5" s="137">
        <v>1</v>
      </c>
      <c r="J5" s="137">
        <v>368</v>
      </c>
      <c r="K5" s="137">
        <v>0</v>
      </c>
      <c r="L5" s="137">
        <v>0</v>
      </c>
      <c r="M5" s="137">
        <f>CDM!B76</f>
        <v>563647.0409413859</v>
      </c>
      <c r="N5" s="166">
        <v>25403.249999999996</v>
      </c>
      <c r="O5" s="166">
        <v>57706.35000000002</v>
      </c>
      <c r="P5" s="129">
        <v>61.1</v>
      </c>
      <c r="Q5" s="128">
        <v>1.2194544326304113</v>
      </c>
      <c r="R5" s="166">
        <v>371</v>
      </c>
      <c r="S5" s="76">
        <f t="shared" si="0"/>
        <v>42973727.016912848</v>
      </c>
      <c r="T5" s="74">
        <f t="shared" si="3"/>
        <v>7.140244721813716E-3</v>
      </c>
      <c r="U5" s="10"/>
      <c r="V5" s="50" t="s">
        <v>28</v>
      </c>
      <c r="W5" s="50"/>
      <c r="AO5" s="137"/>
      <c r="AP5" s="134"/>
      <c r="AQ5" s="137"/>
      <c r="AR5" s="137"/>
      <c r="AS5" s="137"/>
      <c r="AT5" s="32"/>
    </row>
    <row r="6" spans="1:46" x14ac:dyDescent="0.25">
      <c r="A6" s="75">
        <v>40269</v>
      </c>
      <c r="B6" s="142">
        <f t="shared" si="1"/>
        <v>2010</v>
      </c>
      <c r="C6" s="137">
        <f>'Power Purchases'!C90</f>
        <v>37170715.384615384</v>
      </c>
      <c r="D6" s="137">
        <f>'Power Purchases'!D90</f>
        <v>397084.36224078422</v>
      </c>
      <c r="E6" s="237">
        <f t="shared" si="2"/>
        <v>38120390.311814301</v>
      </c>
      <c r="F6" s="212">
        <v>225.1</v>
      </c>
      <c r="G6" s="212">
        <v>0</v>
      </c>
      <c r="H6" s="137">
        <v>30</v>
      </c>
      <c r="I6" s="137">
        <v>1</v>
      </c>
      <c r="J6" s="137">
        <v>320</v>
      </c>
      <c r="K6" s="137">
        <v>0</v>
      </c>
      <c r="L6" s="137">
        <v>0</v>
      </c>
      <c r="M6" s="137">
        <f>CDM!B77</f>
        <v>552590.5649581328</v>
      </c>
      <c r="N6" s="166">
        <v>25428</v>
      </c>
      <c r="O6" s="166">
        <v>57768.333333333358</v>
      </c>
      <c r="P6" s="129">
        <v>61.1</v>
      </c>
      <c r="Q6" s="128">
        <v>1.2238124389304554</v>
      </c>
      <c r="R6" s="166">
        <v>405</v>
      </c>
      <c r="S6" s="76">
        <f t="shared" si="0"/>
        <v>39163166.561166905</v>
      </c>
      <c r="T6" s="74">
        <f t="shared" si="3"/>
        <v>2.7354815646507852E-2</v>
      </c>
      <c r="U6" s="10"/>
      <c r="V6" s="36" t="s">
        <v>29</v>
      </c>
      <c r="W6" s="238">
        <v>0.9646633498530911</v>
      </c>
      <c r="AO6" s="137"/>
      <c r="AP6" s="134"/>
      <c r="AQ6" s="137"/>
      <c r="AR6" s="137"/>
      <c r="AS6" s="137"/>
      <c r="AT6" s="32"/>
    </row>
    <row r="7" spans="1:46" x14ac:dyDescent="0.25">
      <c r="A7" s="75">
        <v>40299</v>
      </c>
      <c r="B7" s="142">
        <f t="shared" si="1"/>
        <v>2010</v>
      </c>
      <c r="C7" s="137">
        <f>'Power Purchases'!C91</f>
        <v>41877784.615384616</v>
      </c>
      <c r="D7" s="137">
        <f>'Power Purchases'!D91</f>
        <v>456344.07644285553</v>
      </c>
      <c r="E7" s="237">
        <f t="shared" si="2"/>
        <v>42875662.780802347</v>
      </c>
      <c r="F7" s="212">
        <v>107.9</v>
      </c>
      <c r="G7" s="212">
        <v>45.7</v>
      </c>
      <c r="H7" s="137">
        <v>31</v>
      </c>
      <c r="I7" s="137">
        <v>1</v>
      </c>
      <c r="J7" s="137">
        <v>320</v>
      </c>
      <c r="K7" s="137">
        <v>0</v>
      </c>
      <c r="L7" s="137">
        <v>0</v>
      </c>
      <c r="M7" s="137">
        <f>CDM!B78</f>
        <v>541534.08897487971</v>
      </c>
      <c r="N7" s="166">
        <v>25452.749999999989</v>
      </c>
      <c r="O7" s="166">
        <v>57830.316666666695</v>
      </c>
      <c r="P7" s="129">
        <v>61.4</v>
      </c>
      <c r="Q7" s="128">
        <v>1.2281704452304993</v>
      </c>
      <c r="R7" s="166">
        <v>457</v>
      </c>
      <c r="S7" s="76">
        <f t="shared" si="0"/>
        <v>42157280.956261635</v>
      </c>
      <c r="T7" s="74">
        <f t="shared" si="3"/>
        <v>-1.6755002207508002E-2</v>
      </c>
      <c r="U7" s="10"/>
      <c r="V7" s="36" t="s">
        <v>30</v>
      </c>
      <c r="W7" s="238">
        <v>0.93057537854978734</v>
      </c>
      <c r="AO7" s="137"/>
      <c r="AP7" s="134"/>
      <c r="AQ7" s="137"/>
      <c r="AR7" s="137"/>
      <c r="AS7" s="137"/>
      <c r="AT7" s="32"/>
    </row>
    <row r="8" spans="1:46" x14ac:dyDescent="0.25">
      <c r="A8" s="75">
        <v>40330</v>
      </c>
      <c r="B8" s="142">
        <f t="shared" si="1"/>
        <v>2010</v>
      </c>
      <c r="C8" s="137">
        <f>'Power Purchases'!C92</f>
        <v>43649361.538461536</v>
      </c>
      <c r="D8" s="137">
        <f>'Power Purchases'!D92</f>
        <v>468253.86236160132</v>
      </c>
      <c r="E8" s="237">
        <f t="shared" si="2"/>
        <v>44648093.013814762</v>
      </c>
      <c r="F8" s="212">
        <v>21.7</v>
      </c>
      <c r="G8" s="212">
        <v>58.7</v>
      </c>
      <c r="H8" s="137">
        <v>30</v>
      </c>
      <c r="I8" s="137">
        <v>0</v>
      </c>
      <c r="J8" s="137">
        <v>352</v>
      </c>
      <c r="K8" s="137">
        <v>0</v>
      </c>
      <c r="L8" s="137">
        <v>0</v>
      </c>
      <c r="M8" s="137">
        <f>CDM!B79</f>
        <v>530477.61299162661</v>
      </c>
      <c r="N8" s="166">
        <v>25477.499999999993</v>
      </c>
      <c r="O8" s="166">
        <v>57892.300000000032</v>
      </c>
      <c r="P8" s="129">
        <v>61.9</v>
      </c>
      <c r="Q8" s="128">
        <v>1.2325284515305435</v>
      </c>
      <c r="R8" s="166">
        <v>462</v>
      </c>
      <c r="S8" s="76">
        <f t="shared" si="0"/>
        <v>43546148.883786432</v>
      </c>
      <c r="T8" s="74">
        <f t="shared" si="3"/>
        <v>-2.4680653878932129E-2</v>
      </c>
      <c r="U8" s="10"/>
      <c r="V8" s="36" t="s">
        <v>31</v>
      </c>
      <c r="W8" s="238">
        <v>0.92623633970914909</v>
      </c>
      <c r="AO8" s="137"/>
      <c r="AP8" s="134"/>
      <c r="AQ8" s="137"/>
      <c r="AR8" s="137"/>
      <c r="AS8" s="137"/>
      <c r="AT8" s="32"/>
    </row>
    <row r="9" spans="1:46" x14ac:dyDescent="0.25">
      <c r="A9" s="75">
        <v>40360</v>
      </c>
      <c r="B9" s="142">
        <f t="shared" si="1"/>
        <v>2010</v>
      </c>
      <c r="C9" s="137">
        <f>'Power Purchases'!C93</f>
        <v>50523061.538461536</v>
      </c>
      <c r="D9" s="137">
        <f>'Power Purchases'!D93</f>
        <v>507091.56398287136</v>
      </c>
      <c r="E9" s="237">
        <f t="shared" si="2"/>
        <v>51549574.239452787</v>
      </c>
      <c r="F9" s="212">
        <v>1.8</v>
      </c>
      <c r="G9" s="212">
        <v>164.9</v>
      </c>
      <c r="H9" s="137">
        <v>31</v>
      </c>
      <c r="I9" s="137">
        <v>0</v>
      </c>
      <c r="J9" s="137">
        <v>336</v>
      </c>
      <c r="K9" s="137">
        <v>0</v>
      </c>
      <c r="L9" s="137">
        <v>0</v>
      </c>
      <c r="M9" s="137">
        <f>CDM!B80</f>
        <v>519421.13700837351</v>
      </c>
      <c r="N9" s="166">
        <v>25502.249999999996</v>
      </c>
      <c r="O9" s="166">
        <v>57954.283333333369</v>
      </c>
      <c r="P9" s="129">
        <v>62.6</v>
      </c>
      <c r="Q9" s="128">
        <v>1.2368864578305874</v>
      </c>
      <c r="R9" s="166">
        <v>467</v>
      </c>
      <c r="S9" s="76">
        <f t="shared" si="0"/>
        <v>51459488.774604477</v>
      </c>
      <c r="T9" s="74">
        <f t="shared" si="3"/>
        <v>-1.7475501238837397E-3</v>
      </c>
      <c r="U9" s="10"/>
      <c r="V9" s="36" t="s">
        <v>32</v>
      </c>
      <c r="W9" s="239">
        <v>927780.30181233957</v>
      </c>
      <c r="AO9" s="137"/>
      <c r="AP9" s="134"/>
      <c r="AQ9" s="137"/>
      <c r="AR9" s="137"/>
      <c r="AS9" s="137"/>
      <c r="AT9" s="32"/>
    </row>
    <row r="10" spans="1:46" ht="13.8" thickBot="1" x14ac:dyDescent="0.3">
      <c r="A10" s="75">
        <v>40391</v>
      </c>
      <c r="B10" s="142">
        <f t="shared" si="1"/>
        <v>2010</v>
      </c>
      <c r="C10" s="137">
        <f>'Power Purchases'!C94</f>
        <v>48496438.461538464</v>
      </c>
      <c r="D10" s="137">
        <f>'Power Purchases'!D94</f>
        <v>495727.59274039784</v>
      </c>
      <c r="E10" s="237">
        <f t="shared" si="2"/>
        <v>49500530.71530398</v>
      </c>
      <c r="F10" s="212">
        <v>2.1</v>
      </c>
      <c r="G10" s="212">
        <v>138.80000000000001</v>
      </c>
      <c r="H10" s="137">
        <v>31</v>
      </c>
      <c r="I10" s="137">
        <v>0</v>
      </c>
      <c r="J10" s="137">
        <v>336</v>
      </c>
      <c r="K10" s="137">
        <v>0</v>
      </c>
      <c r="L10" s="137">
        <v>0</v>
      </c>
      <c r="M10" s="137">
        <f>CDM!B81</f>
        <v>508364.66102512041</v>
      </c>
      <c r="N10" s="166">
        <v>25526.999999999989</v>
      </c>
      <c r="O10" s="166">
        <v>58016.266666666706</v>
      </c>
      <c r="P10" s="129">
        <v>63.1</v>
      </c>
      <c r="Q10" s="128">
        <v>1.2412444641306315</v>
      </c>
      <c r="R10" s="166">
        <v>432</v>
      </c>
      <c r="S10" s="76">
        <f t="shared" si="0"/>
        <v>49641995.919834711</v>
      </c>
      <c r="T10" s="74">
        <f t="shared" si="3"/>
        <v>2.8578522792886809E-3</v>
      </c>
      <c r="U10" s="10"/>
      <c r="V10" s="48" t="s">
        <v>33</v>
      </c>
      <c r="W10" s="240">
        <v>120</v>
      </c>
      <c r="AO10" s="137"/>
      <c r="AP10" s="134"/>
      <c r="AQ10" s="137"/>
      <c r="AR10" s="137"/>
      <c r="AS10" s="137"/>
      <c r="AT10" s="32"/>
    </row>
    <row r="11" spans="1:46" x14ac:dyDescent="0.25">
      <c r="A11" s="75">
        <v>40422</v>
      </c>
      <c r="B11" s="142">
        <f t="shared" si="1"/>
        <v>2010</v>
      </c>
      <c r="C11" s="137">
        <f>'Power Purchases'!C95</f>
        <v>40569069.230769232</v>
      </c>
      <c r="D11" s="137">
        <f>'Power Purchases'!D95</f>
        <v>435946.02082563465</v>
      </c>
      <c r="E11" s="237">
        <f t="shared" si="2"/>
        <v>41502323.436636731</v>
      </c>
      <c r="F11" s="212">
        <v>78.099999999999994</v>
      </c>
      <c r="G11" s="212">
        <v>31.5</v>
      </c>
      <c r="H11" s="137">
        <v>30</v>
      </c>
      <c r="I11" s="137">
        <v>0</v>
      </c>
      <c r="J11" s="137">
        <v>336</v>
      </c>
      <c r="K11" s="137">
        <v>1</v>
      </c>
      <c r="L11" s="137">
        <v>0</v>
      </c>
      <c r="M11" s="137">
        <f>CDM!B82</f>
        <v>497308.18504186731</v>
      </c>
      <c r="N11" s="166">
        <v>25551.749999999989</v>
      </c>
      <c r="O11" s="166">
        <v>58078.250000000044</v>
      </c>
      <c r="P11" s="129">
        <v>62.8</v>
      </c>
      <c r="Q11" s="128">
        <v>1.2456024704306756</v>
      </c>
      <c r="R11" s="166">
        <v>374</v>
      </c>
      <c r="S11" s="76">
        <f t="shared" si="0"/>
        <v>41274412.128293321</v>
      </c>
      <c r="T11" s="74">
        <f t="shared" si="3"/>
        <v>-5.4915313040575153E-3</v>
      </c>
      <c r="U11" s="10"/>
      <c r="AO11" s="137"/>
      <c r="AP11" s="134"/>
      <c r="AQ11" s="137"/>
      <c r="AR11" s="137"/>
      <c r="AS11" s="137"/>
      <c r="AT11" s="32"/>
    </row>
    <row r="12" spans="1:46" ht="13.8" thickBot="1" x14ac:dyDescent="0.3">
      <c r="A12" s="75">
        <v>40452</v>
      </c>
      <c r="B12" s="142">
        <f t="shared" si="1"/>
        <v>2010</v>
      </c>
      <c r="C12" s="137">
        <f>'Power Purchases'!C96</f>
        <v>40047369.230769232</v>
      </c>
      <c r="D12" s="137">
        <f>'Power Purchases'!D96</f>
        <v>417599.60493286839</v>
      </c>
      <c r="E12" s="237">
        <f t="shared" si="2"/>
        <v>40951220.544760711</v>
      </c>
      <c r="F12" s="212">
        <v>241.6</v>
      </c>
      <c r="G12" s="212">
        <v>0</v>
      </c>
      <c r="H12" s="137">
        <v>31</v>
      </c>
      <c r="I12" s="137">
        <v>0</v>
      </c>
      <c r="J12" s="137">
        <v>320</v>
      </c>
      <c r="K12" s="137">
        <v>1</v>
      </c>
      <c r="L12" s="137">
        <v>0</v>
      </c>
      <c r="M12" s="137">
        <f>CDM!B83</f>
        <v>486251.70905861421</v>
      </c>
      <c r="N12" s="166">
        <v>25576.499999999993</v>
      </c>
      <c r="O12" s="166">
        <v>58140.233333333381</v>
      </c>
      <c r="P12" s="129">
        <v>62.7</v>
      </c>
      <c r="Q12" s="128">
        <v>1.2499604767307195</v>
      </c>
      <c r="R12" s="166">
        <v>340</v>
      </c>
      <c r="S12" s="76">
        <f t="shared" si="0"/>
        <v>41427238.11696361</v>
      </c>
      <c r="T12" s="74">
        <f t="shared" si="3"/>
        <v>1.1624014275291243E-2</v>
      </c>
      <c r="U12" s="10"/>
      <c r="V12" t="s">
        <v>34</v>
      </c>
      <c r="AO12" s="137"/>
      <c r="AP12" s="134"/>
      <c r="AQ12" s="137"/>
      <c r="AR12" s="137"/>
      <c r="AS12" s="137"/>
      <c r="AT12" s="32"/>
    </row>
    <row r="13" spans="1:46" x14ac:dyDescent="0.25">
      <c r="A13" s="75">
        <v>40483</v>
      </c>
      <c r="B13" s="142">
        <f t="shared" si="1"/>
        <v>2010</v>
      </c>
      <c r="C13" s="137">
        <f>'Power Purchases'!C97</f>
        <v>41183369.230769232</v>
      </c>
      <c r="D13" s="137">
        <f>'Power Purchases'!D97</f>
        <v>396014.95802312746</v>
      </c>
      <c r="E13" s="237">
        <f t="shared" si="2"/>
        <v>42054579.421867721</v>
      </c>
      <c r="F13" s="212">
        <v>405.3</v>
      </c>
      <c r="G13" s="212">
        <v>0</v>
      </c>
      <c r="H13" s="137">
        <v>30</v>
      </c>
      <c r="I13" s="137">
        <v>0</v>
      </c>
      <c r="J13" s="137">
        <v>336</v>
      </c>
      <c r="K13" s="137">
        <v>1</v>
      </c>
      <c r="L13" s="137">
        <v>0</v>
      </c>
      <c r="M13" s="137">
        <f>CDM!B84</f>
        <v>475195.23307536112</v>
      </c>
      <c r="N13" s="166">
        <v>25601.249999999985</v>
      </c>
      <c r="O13" s="166">
        <v>58202.216666666718</v>
      </c>
      <c r="P13" s="129">
        <v>62.3</v>
      </c>
      <c r="Q13" s="128">
        <v>1.2543184830307637</v>
      </c>
      <c r="R13" s="166">
        <v>290</v>
      </c>
      <c r="S13" s="76">
        <f t="shared" si="0"/>
        <v>42367520.923568644</v>
      </c>
      <c r="T13" s="74">
        <f t="shared" si="3"/>
        <v>7.4413180681625881E-3</v>
      </c>
      <c r="U13" s="10"/>
      <c r="V13" s="49"/>
      <c r="W13" s="49" t="s">
        <v>38</v>
      </c>
      <c r="X13" s="49" t="s">
        <v>39</v>
      </c>
      <c r="Y13" s="49" t="s">
        <v>40</v>
      </c>
      <c r="Z13" s="49" t="s">
        <v>41</v>
      </c>
      <c r="AA13" s="49" t="s">
        <v>42</v>
      </c>
      <c r="AO13" s="137"/>
      <c r="AP13" s="134"/>
      <c r="AQ13" s="137"/>
      <c r="AR13" s="137"/>
      <c r="AS13" s="137"/>
      <c r="AT13" s="32"/>
    </row>
    <row r="14" spans="1:46" x14ac:dyDescent="0.25">
      <c r="A14" s="75">
        <v>40513</v>
      </c>
      <c r="B14" s="142">
        <f t="shared" si="1"/>
        <v>2010</v>
      </c>
      <c r="C14" s="137">
        <f>'Power Purchases'!C98</f>
        <v>47278253.846153848</v>
      </c>
      <c r="D14" s="137">
        <f>'Power Purchases'!D98</f>
        <v>412417.68484660878</v>
      </c>
      <c r="E14" s="237">
        <f t="shared" si="2"/>
        <v>48154810.288092569</v>
      </c>
      <c r="F14" s="212">
        <v>676.2</v>
      </c>
      <c r="G14" s="212">
        <v>0</v>
      </c>
      <c r="H14" s="137">
        <v>31</v>
      </c>
      <c r="I14" s="137">
        <v>0</v>
      </c>
      <c r="J14" s="137">
        <v>368</v>
      </c>
      <c r="K14" s="137">
        <v>0</v>
      </c>
      <c r="L14" s="137">
        <v>0</v>
      </c>
      <c r="M14" s="137">
        <f>CDM!B85</f>
        <v>464138.75709210802</v>
      </c>
      <c r="N14" s="166">
        <v>25626</v>
      </c>
      <c r="O14" s="166">
        <v>58264.200000000012</v>
      </c>
      <c r="P14" s="129">
        <v>62.7</v>
      </c>
      <c r="Q14" s="128">
        <v>1.2586764893308067</v>
      </c>
      <c r="R14" s="166">
        <v>269</v>
      </c>
      <c r="S14" s="76">
        <f t="shared" si="0"/>
        <v>47297492.061365888</v>
      </c>
      <c r="T14" s="74">
        <f t="shared" si="3"/>
        <v>-1.7803376684440462E-2</v>
      </c>
      <c r="U14" s="10"/>
      <c r="V14" s="36" t="s">
        <v>35</v>
      </c>
      <c r="W14" s="36">
        <v>8</v>
      </c>
      <c r="X14" s="36">
        <v>1307169102144877.3</v>
      </c>
      <c r="Y14" s="36">
        <v>163396137768109.66</v>
      </c>
      <c r="Z14" s="54">
        <v>206.58013138195335</v>
      </c>
      <c r="AA14" s="36">
        <v>5.7178778339817152E-63</v>
      </c>
      <c r="AO14" s="137"/>
      <c r="AP14" s="134"/>
      <c r="AQ14" s="137"/>
      <c r="AR14" s="137"/>
      <c r="AS14" s="137"/>
      <c r="AT14" s="32"/>
    </row>
    <row r="15" spans="1:46" x14ac:dyDescent="0.25">
      <c r="A15" s="75">
        <v>40544</v>
      </c>
      <c r="B15" s="142">
        <f t="shared" si="1"/>
        <v>2011</v>
      </c>
      <c r="C15" s="137">
        <f>'Power Purchases'!C99</f>
        <v>47976584.615384616</v>
      </c>
      <c r="D15" s="137">
        <f>'Power Purchases'!D99</f>
        <v>409866.33526348241</v>
      </c>
      <c r="E15" s="237">
        <f t="shared" si="2"/>
        <v>48881675.001520909</v>
      </c>
      <c r="F15" s="212">
        <v>775.3</v>
      </c>
      <c r="G15" s="212">
        <v>0</v>
      </c>
      <c r="H15" s="137">
        <v>31</v>
      </c>
      <c r="I15" s="137">
        <v>0</v>
      </c>
      <c r="J15" s="137">
        <v>336</v>
      </c>
      <c r="K15" s="137">
        <v>0</v>
      </c>
      <c r="L15" s="137">
        <v>0</v>
      </c>
      <c r="M15" s="137">
        <f>CDM!B86</f>
        <v>495224.05087280937</v>
      </c>
      <c r="N15" s="166">
        <f t="shared" ref="N15:N25" si="4">+($J$26-$J$14)/12+N14</f>
        <v>25623.333333333332</v>
      </c>
      <c r="O15" s="166">
        <v>58326.183333333342</v>
      </c>
      <c r="P15" s="129">
        <v>62.5</v>
      </c>
      <c r="Q15" s="128">
        <v>1.2601856862388683</v>
      </c>
      <c r="R15" s="166">
        <v>290</v>
      </c>
      <c r="S15" s="76">
        <f t="shared" si="0"/>
        <v>47735698.497816816</v>
      </c>
      <c r="T15" s="74">
        <f t="shared" si="3"/>
        <v>-2.3443887789615175E-2</v>
      </c>
      <c r="U15" s="10"/>
      <c r="V15" s="36" t="s">
        <v>36</v>
      </c>
      <c r="W15" s="36">
        <v>111</v>
      </c>
      <c r="X15" s="36">
        <v>87796300500584.359</v>
      </c>
      <c r="Y15" s="36">
        <v>790957662167.42664</v>
      </c>
      <c r="Z15" s="54"/>
      <c r="AA15" s="54"/>
      <c r="AO15" s="137"/>
      <c r="AP15" s="134"/>
      <c r="AQ15" s="137"/>
      <c r="AR15" s="137"/>
      <c r="AS15" s="137"/>
      <c r="AT15" s="32"/>
    </row>
    <row r="16" spans="1:46" ht="13.8" thickBot="1" x14ac:dyDescent="0.3">
      <c r="A16" s="75">
        <v>40575</v>
      </c>
      <c r="B16" s="142">
        <f t="shared" si="1"/>
        <v>2011</v>
      </c>
      <c r="C16" s="137">
        <f>'Power Purchases'!C100</f>
        <v>42881461.538461544</v>
      </c>
      <c r="D16" s="137">
        <f>'Power Purchases'!D100</f>
        <v>363500.04570849787</v>
      </c>
      <c r="E16" s="237">
        <f t="shared" si="2"/>
        <v>43771270.928823553</v>
      </c>
      <c r="F16" s="212">
        <v>654.20000000000005</v>
      </c>
      <c r="G16" s="212">
        <v>0</v>
      </c>
      <c r="H16" s="137">
        <v>28</v>
      </c>
      <c r="I16" s="137">
        <v>0</v>
      </c>
      <c r="J16" s="137">
        <v>304</v>
      </c>
      <c r="K16" s="137">
        <v>0</v>
      </c>
      <c r="L16" s="137">
        <v>0</v>
      </c>
      <c r="M16" s="137">
        <f>CDM!B87</f>
        <v>526309.34465351072</v>
      </c>
      <c r="N16" s="166">
        <f t="shared" si="4"/>
        <v>25620.666666666664</v>
      </c>
      <c r="O16" s="166">
        <v>58388.166666666672</v>
      </c>
      <c r="P16" s="129">
        <v>62.3</v>
      </c>
      <c r="Q16" s="128">
        <v>1.2616948831469299</v>
      </c>
      <c r="R16" s="166">
        <v>305</v>
      </c>
      <c r="S16" s="76">
        <f t="shared" si="0"/>
        <v>43004530.997482121</v>
      </c>
      <c r="T16" s="74">
        <f t="shared" si="3"/>
        <v>-1.7516967523932024E-2</v>
      </c>
      <c r="U16" s="10"/>
      <c r="V16" s="48" t="s">
        <v>11</v>
      </c>
      <c r="W16" s="48">
        <v>119</v>
      </c>
      <c r="X16" s="48">
        <v>1394965402645461.5</v>
      </c>
      <c r="Y16" s="48"/>
      <c r="Z16" s="55"/>
      <c r="AA16" s="55"/>
      <c r="AO16" s="137"/>
      <c r="AP16" s="134"/>
      <c r="AQ16" s="137"/>
      <c r="AR16" s="137"/>
      <c r="AS16" s="137"/>
      <c r="AT16" s="32"/>
    </row>
    <row r="17" spans="1:46" ht="13.8" thickBot="1" x14ac:dyDescent="0.3">
      <c r="A17" s="75">
        <v>40603</v>
      </c>
      <c r="B17" s="142">
        <f t="shared" si="1"/>
        <v>2011</v>
      </c>
      <c r="C17" s="137">
        <f>'Power Purchases'!C101</f>
        <v>44667184.615384616</v>
      </c>
      <c r="D17" s="137">
        <f>'Power Purchases'!D101</f>
        <v>409467.10719895572</v>
      </c>
      <c r="E17" s="237">
        <f t="shared" si="2"/>
        <v>45634046.361017779</v>
      </c>
      <c r="F17" s="212">
        <v>572.79999999999995</v>
      </c>
      <c r="G17" s="212">
        <v>0</v>
      </c>
      <c r="H17" s="137">
        <v>31</v>
      </c>
      <c r="I17" s="137">
        <v>1</v>
      </c>
      <c r="J17" s="137">
        <v>368</v>
      </c>
      <c r="K17" s="137">
        <v>0</v>
      </c>
      <c r="L17" s="137">
        <v>0</v>
      </c>
      <c r="M17" s="137">
        <f>CDM!B88</f>
        <v>557394.63843421207</v>
      </c>
      <c r="N17" s="166">
        <f t="shared" si="4"/>
        <v>25617.999999999996</v>
      </c>
      <c r="O17" s="166">
        <v>58450.15</v>
      </c>
      <c r="P17" s="129">
        <v>61.6</v>
      </c>
      <c r="Q17" s="128">
        <v>1.2632040800549915</v>
      </c>
      <c r="R17" s="166">
        <v>371</v>
      </c>
      <c r="S17" s="76">
        <f t="shared" si="0"/>
        <v>44482105.180400915</v>
      </c>
      <c r="T17" s="74">
        <f t="shared" si="3"/>
        <v>-2.5243020781100228E-2</v>
      </c>
      <c r="U17" s="10"/>
      <c r="AO17" s="137"/>
      <c r="AP17" s="134"/>
      <c r="AQ17" s="137"/>
      <c r="AR17" s="137"/>
      <c r="AS17" s="137"/>
      <c r="AT17" s="32"/>
    </row>
    <row r="18" spans="1:46" x14ac:dyDescent="0.25">
      <c r="A18" s="75">
        <v>40634</v>
      </c>
      <c r="B18" s="142">
        <f t="shared" si="1"/>
        <v>2011</v>
      </c>
      <c r="C18" s="137">
        <f>'Power Purchases'!C102</f>
        <v>39775423.07692308</v>
      </c>
      <c r="D18" s="137">
        <f>'Power Purchases'!D102</f>
        <v>398234.33380081045</v>
      </c>
      <c r="E18" s="237">
        <f t="shared" si="2"/>
        <v>40762137.342938803</v>
      </c>
      <c r="F18" s="212">
        <v>332.3</v>
      </c>
      <c r="G18" s="212">
        <v>0</v>
      </c>
      <c r="H18" s="137">
        <v>30</v>
      </c>
      <c r="I18" s="137">
        <v>1</v>
      </c>
      <c r="J18" s="137">
        <v>320</v>
      </c>
      <c r="K18" s="137">
        <v>0</v>
      </c>
      <c r="L18" s="137">
        <v>0</v>
      </c>
      <c r="M18" s="137">
        <f>CDM!B89</f>
        <v>588479.93221491342</v>
      </c>
      <c r="N18" s="166">
        <f t="shared" si="4"/>
        <v>25615.333333333328</v>
      </c>
      <c r="O18" s="166">
        <v>58512.133333333331</v>
      </c>
      <c r="P18" s="129">
        <v>61.6</v>
      </c>
      <c r="Q18" s="128">
        <v>1.2647132769630531</v>
      </c>
      <c r="R18" s="166">
        <v>405</v>
      </c>
      <c r="S18" s="76">
        <f t="shared" si="0"/>
        <v>40241154.15533971</v>
      </c>
      <c r="T18" s="74">
        <f t="shared" si="3"/>
        <v>-1.2781056675609829E-2</v>
      </c>
      <c r="U18" s="10"/>
      <c r="V18" s="49"/>
      <c r="W18" s="49" t="s">
        <v>43</v>
      </c>
      <c r="X18" s="49" t="s">
        <v>32</v>
      </c>
      <c r="Y18" s="49" t="s">
        <v>44</v>
      </c>
      <c r="Z18" s="49" t="s">
        <v>45</v>
      </c>
      <c r="AA18" s="49" t="s">
        <v>46</v>
      </c>
      <c r="AB18" s="49" t="s">
        <v>47</v>
      </c>
      <c r="AO18" s="137"/>
      <c r="AP18" s="134"/>
      <c r="AQ18" s="137"/>
      <c r="AR18" s="137"/>
      <c r="AS18" s="137"/>
      <c r="AT18" s="32"/>
    </row>
    <row r="19" spans="1:46" x14ac:dyDescent="0.25">
      <c r="A19" s="75">
        <v>40664</v>
      </c>
      <c r="B19" s="142">
        <f t="shared" si="1"/>
        <v>2011</v>
      </c>
      <c r="C19" s="137">
        <f>'Power Purchases'!C103</f>
        <v>40526946.153846152</v>
      </c>
      <c r="D19" s="137">
        <f>'Power Purchases'!D103</f>
        <v>441258.10085033061</v>
      </c>
      <c r="E19" s="237">
        <f t="shared" si="2"/>
        <v>41587769.480692096</v>
      </c>
      <c r="F19" s="212">
        <v>134.1</v>
      </c>
      <c r="G19" s="212">
        <v>13</v>
      </c>
      <c r="H19" s="137">
        <v>31</v>
      </c>
      <c r="I19" s="137">
        <v>1</v>
      </c>
      <c r="J19" s="137">
        <v>336</v>
      </c>
      <c r="K19" s="137">
        <v>0</v>
      </c>
      <c r="L19" s="137">
        <v>0</v>
      </c>
      <c r="M19" s="137">
        <f>CDM!B90</f>
        <v>619565.22599561478</v>
      </c>
      <c r="N19" s="166">
        <f t="shared" si="4"/>
        <v>25612.666666666661</v>
      </c>
      <c r="O19" s="166">
        <v>58574.116666666661</v>
      </c>
      <c r="P19" s="129">
        <v>61.8</v>
      </c>
      <c r="Q19" s="128">
        <v>1.2662224738711148</v>
      </c>
      <c r="R19" s="166">
        <v>457</v>
      </c>
      <c r="S19" s="76">
        <f t="shared" si="0"/>
        <v>40419040.347269535</v>
      </c>
      <c r="T19" s="74">
        <f t="shared" si="3"/>
        <v>-2.8102712600760315E-2</v>
      </c>
      <c r="U19" s="10"/>
      <c r="V19" s="36" t="s">
        <v>37</v>
      </c>
      <c r="W19" s="56">
        <v>3541169.9673064006</v>
      </c>
      <c r="X19" s="54">
        <v>3300507.6979733324</v>
      </c>
      <c r="Y19" s="54">
        <v>1.0729167423184156</v>
      </c>
      <c r="Z19" s="54">
        <v>0.28561477902912258</v>
      </c>
      <c r="AA19" s="54">
        <v>-2998362.96024023</v>
      </c>
      <c r="AB19" s="54">
        <v>10080702.894853031</v>
      </c>
      <c r="AO19" s="137"/>
      <c r="AP19" s="134"/>
      <c r="AQ19" s="137"/>
      <c r="AR19" s="137"/>
      <c r="AS19" s="137"/>
      <c r="AT19" s="32"/>
    </row>
    <row r="20" spans="1:46" x14ac:dyDescent="0.25">
      <c r="A20" s="75">
        <v>40695</v>
      </c>
      <c r="B20" s="142">
        <f t="shared" si="1"/>
        <v>2011</v>
      </c>
      <c r="C20" s="137">
        <f>'Power Purchases'!C104</f>
        <v>42633200.000000007</v>
      </c>
      <c r="D20" s="137">
        <f>'Power Purchases'!D104</f>
        <v>454552.97399046569</v>
      </c>
      <c r="E20" s="237">
        <f t="shared" si="2"/>
        <v>43738403.493766785</v>
      </c>
      <c r="F20" s="212">
        <v>19</v>
      </c>
      <c r="G20" s="212">
        <v>52.2</v>
      </c>
      <c r="H20" s="137">
        <v>30</v>
      </c>
      <c r="I20" s="137">
        <v>0</v>
      </c>
      <c r="J20" s="137">
        <v>352</v>
      </c>
      <c r="K20" s="137">
        <v>0</v>
      </c>
      <c r="L20" s="137">
        <v>0</v>
      </c>
      <c r="M20" s="137">
        <f>CDM!B91</f>
        <v>650650.51977631613</v>
      </c>
      <c r="N20" s="166">
        <f t="shared" si="4"/>
        <v>25609.999999999993</v>
      </c>
      <c r="O20" s="166">
        <v>58636.099999999991</v>
      </c>
      <c r="P20" s="129">
        <v>62.5</v>
      </c>
      <c r="Q20" s="128">
        <v>1.2677316707791766</v>
      </c>
      <c r="R20" s="166">
        <v>462</v>
      </c>
      <c r="S20" s="76">
        <f t="shared" si="0"/>
        <v>43065614.457221851</v>
      </c>
      <c r="T20" s="74">
        <f t="shared" si="3"/>
        <v>-1.5382112349866953E-2</v>
      </c>
      <c r="U20" s="127"/>
      <c r="V20" s="36" t="s">
        <v>3</v>
      </c>
      <c r="W20" s="56">
        <v>10055.85442325381</v>
      </c>
      <c r="X20" s="54">
        <v>552.35752943981674</v>
      </c>
      <c r="Y20" s="54">
        <v>18.205336013889653</v>
      </c>
      <c r="Z20" s="54">
        <v>2.965316645444547E-35</v>
      </c>
      <c r="AA20" s="54">
        <v>8961.4287826870495</v>
      </c>
      <c r="AB20" s="54">
        <v>11150.28006382057</v>
      </c>
      <c r="AO20" s="137"/>
      <c r="AP20" s="134"/>
      <c r="AQ20" s="137"/>
      <c r="AR20" s="137"/>
      <c r="AS20" s="137"/>
      <c r="AT20" s="32"/>
    </row>
    <row r="21" spans="1:46" x14ac:dyDescent="0.25">
      <c r="A21" s="75">
        <v>40725</v>
      </c>
      <c r="B21" s="142">
        <f t="shared" si="1"/>
        <v>2011</v>
      </c>
      <c r="C21" s="137">
        <f>'Power Purchases'!C105</f>
        <v>50774907.692307696</v>
      </c>
      <c r="D21" s="137">
        <f>'Power Purchases'!D105</f>
        <v>513592.72952427861</v>
      </c>
      <c r="E21" s="237">
        <f t="shared" si="2"/>
        <v>51970236.235388987</v>
      </c>
      <c r="F21" s="212">
        <v>0</v>
      </c>
      <c r="G21" s="212">
        <v>198.5</v>
      </c>
      <c r="H21" s="137">
        <v>31</v>
      </c>
      <c r="I21" s="137">
        <v>0</v>
      </c>
      <c r="J21" s="137">
        <v>320</v>
      </c>
      <c r="K21" s="137">
        <v>0</v>
      </c>
      <c r="L21" s="137">
        <v>0</v>
      </c>
      <c r="M21" s="137">
        <f>CDM!B92</f>
        <v>681735.81355701748</v>
      </c>
      <c r="N21" s="166">
        <f t="shared" si="4"/>
        <v>25607.333333333325</v>
      </c>
      <c r="O21" s="166">
        <v>58698.083333333321</v>
      </c>
      <c r="P21" s="129">
        <v>62.5</v>
      </c>
      <c r="Q21" s="128">
        <v>1.2692408676872382</v>
      </c>
      <c r="R21" s="166">
        <v>467</v>
      </c>
      <c r="S21" s="76">
        <f t="shared" si="0"/>
        <v>53505868.42501007</v>
      </c>
      <c r="T21" s="74">
        <f t="shared" si="3"/>
        <v>2.954830112115979E-2</v>
      </c>
      <c r="U21" s="127"/>
      <c r="V21" s="36" t="s">
        <v>4</v>
      </c>
      <c r="W21" s="56">
        <v>69751.326095660916</v>
      </c>
      <c r="X21" s="54">
        <v>3034.783901078662</v>
      </c>
      <c r="Y21" s="54">
        <v>22.983951533046223</v>
      </c>
      <c r="Z21" s="54">
        <v>3.2922080856985317E-44</v>
      </c>
      <c r="AA21" s="54">
        <v>63738.290809823302</v>
      </c>
      <c r="AB21" s="54">
        <v>75764.361381498529</v>
      </c>
      <c r="AO21" s="137"/>
      <c r="AP21" s="134"/>
      <c r="AQ21" s="137"/>
      <c r="AR21" s="137"/>
      <c r="AS21" s="137"/>
      <c r="AT21" s="32"/>
    </row>
    <row r="22" spans="1:46" x14ac:dyDescent="0.25">
      <c r="A22" s="75">
        <v>40756</v>
      </c>
      <c r="B22" s="142">
        <f t="shared" si="1"/>
        <v>2011</v>
      </c>
      <c r="C22" s="137">
        <f>'Power Purchases'!C106</f>
        <v>46905930.769230768</v>
      </c>
      <c r="D22" s="137">
        <f>'Power Purchases'!D106</f>
        <v>487906.16441607528</v>
      </c>
      <c r="E22" s="237">
        <f t="shared" si="2"/>
        <v>48106658.040984564</v>
      </c>
      <c r="F22" s="212">
        <v>0</v>
      </c>
      <c r="G22" s="212">
        <v>122.2</v>
      </c>
      <c r="H22" s="137">
        <v>31</v>
      </c>
      <c r="I22" s="137">
        <v>0</v>
      </c>
      <c r="J22" s="137">
        <v>352</v>
      </c>
      <c r="K22" s="137">
        <v>0</v>
      </c>
      <c r="L22" s="137">
        <v>0</v>
      </c>
      <c r="M22" s="137">
        <f>CDM!B93</f>
        <v>712821.10733771883</v>
      </c>
      <c r="N22" s="166">
        <f t="shared" si="4"/>
        <v>25604.666666666657</v>
      </c>
      <c r="O22" s="166">
        <v>58760.066666666651</v>
      </c>
      <c r="P22" s="129">
        <v>62.6</v>
      </c>
      <c r="Q22" s="128">
        <v>1.2707500645952998</v>
      </c>
      <c r="R22" s="166">
        <v>432</v>
      </c>
      <c r="S22" s="76">
        <f t="shared" si="0"/>
        <v>48742170.980804674</v>
      </c>
      <c r="T22" s="74">
        <f t="shared" si="3"/>
        <v>1.3210498623260927E-2</v>
      </c>
      <c r="U22" s="127"/>
      <c r="V22" s="36" t="s">
        <v>5</v>
      </c>
      <c r="W22" s="56">
        <v>985024.93092837767</v>
      </c>
      <c r="X22" s="54">
        <v>124471.15102814436</v>
      </c>
      <c r="Y22" s="54">
        <v>7.9136805821427023</v>
      </c>
      <c r="Z22" s="54">
        <v>1.952235094249321E-12</v>
      </c>
      <c r="AA22" s="54">
        <v>738401.30051600083</v>
      </c>
      <c r="AB22" s="54">
        <v>1231648.5613407544</v>
      </c>
      <c r="AO22" s="137"/>
      <c r="AP22" s="134"/>
      <c r="AQ22" s="137"/>
      <c r="AR22" s="137"/>
      <c r="AS22" s="137"/>
      <c r="AT22" s="32"/>
    </row>
    <row r="23" spans="1:46" x14ac:dyDescent="0.25">
      <c r="A23" s="75">
        <v>40787</v>
      </c>
      <c r="B23" s="142">
        <f t="shared" si="1"/>
        <v>2011</v>
      </c>
      <c r="C23" s="137">
        <f>'Power Purchases'!C107</f>
        <v>40614553.846153848</v>
      </c>
      <c r="D23" s="137">
        <f>'Power Purchases'!D107</f>
        <v>440052.60567287955</v>
      </c>
      <c r="E23" s="237">
        <f t="shared" si="2"/>
        <v>41798512.852945149</v>
      </c>
      <c r="F23" s="212">
        <v>48.2</v>
      </c>
      <c r="G23" s="212">
        <v>39.700000000000003</v>
      </c>
      <c r="H23" s="137">
        <v>30</v>
      </c>
      <c r="I23" s="137">
        <v>0</v>
      </c>
      <c r="J23" s="137">
        <v>336</v>
      </c>
      <c r="K23" s="137">
        <v>1</v>
      </c>
      <c r="L23" s="137">
        <v>0</v>
      </c>
      <c r="M23" s="137">
        <f>CDM!B94</f>
        <v>743906.40111842018</v>
      </c>
      <c r="N23" s="166">
        <f t="shared" si="4"/>
        <v>25601.999999999989</v>
      </c>
      <c r="O23" s="166">
        <v>58822.049999999981</v>
      </c>
      <c r="P23" s="129">
        <v>62.1</v>
      </c>
      <c r="Q23" s="128">
        <v>1.2722592615033614</v>
      </c>
      <c r="R23" s="166">
        <v>374</v>
      </c>
      <c r="S23" s="76">
        <f t="shared" si="0"/>
        <v>41545702.955022447</v>
      </c>
      <c r="T23" s="74">
        <f t="shared" si="3"/>
        <v>-6.0482988668073868E-3</v>
      </c>
      <c r="U23" s="127"/>
      <c r="V23" s="36" t="s">
        <v>117</v>
      </c>
      <c r="W23" s="56">
        <v>-1775611.5336005297</v>
      </c>
      <c r="X23" s="54">
        <v>255665.35302581461</v>
      </c>
      <c r="Y23" s="54">
        <v>-6.945061239569859</v>
      </c>
      <c r="Z23" s="54">
        <v>2.6217221039238543E-10</v>
      </c>
      <c r="AA23" s="54">
        <v>-2282179.6581262788</v>
      </c>
      <c r="AB23" s="54">
        <v>-1269043.4090747805</v>
      </c>
      <c r="AO23" s="137"/>
      <c r="AP23" s="134"/>
      <c r="AQ23" s="137"/>
      <c r="AR23" s="137"/>
      <c r="AS23" s="137"/>
      <c r="AT23" s="32"/>
    </row>
    <row r="24" spans="1:46" x14ac:dyDescent="0.25">
      <c r="A24" s="75">
        <v>40817</v>
      </c>
      <c r="B24" s="142">
        <f t="shared" si="1"/>
        <v>2011</v>
      </c>
      <c r="C24" s="137">
        <f>'Power Purchases'!C108</f>
        <v>40718976.92307692</v>
      </c>
      <c r="D24" s="137">
        <f>'Power Purchases'!D108</f>
        <v>412627.66270979168</v>
      </c>
      <c r="E24" s="237">
        <f t="shared" si="2"/>
        <v>41906596.280685835</v>
      </c>
      <c r="F24" s="212">
        <v>235.5</v>
      </c>
      <c r="G24" s="212">
        <v>2.4</v>
      </c>
      <c r="H24" s="137">
        <v>31</v>
      </c>
      <c r="I24" s="137">
        <v>0</v>
      </c>
      <c r="J24" s="137">
        <v>320</v>
      </c>
      <c r="K24" s="137">
        <v>1</v>
      </c>
      <c r="L24" s="137">
        <v>0</v>
      </c>
      <c r="M24" s="137">
        <f>CDM!B95</f>
        <v>774991.69489912153</v>
      </c>
      <c r="N24" s="166">
        <f t="shared" si="4"/>
        <v>25599.333333333321</v>
      </c>
      <c r="O24" s="166">
        <v>58884.033333333311</v>
      </c>
      <c r="P24" s="129">
        <v>61.8</v>
      </c>
      <c r="Q24" s="128">
        <v>1.2737684584114231</v>
      </c>
      <c r="R24" s="166">
        <v>340</v>
      </c>
      <c r="S24" s="76">
        <f t="shared" si="0"/>
        <v>41533300.587611347</v>
      </c>
      <c r="T24" s="74">
        <f t="shared" si="3"/>
        <v>-8.9078027376452412E-3</v>
      </c>
      <c r="U24" s="127"/>
      <c r="V24" s="36" t="s">
        <v>6</v>
      </c>
      <c r="W24" s="56">
        <v>17447.773027922718</v>
      </c>
      <c r="X24" s="54">
        <v>5862.3592652556772</v>
      </c>
      <c r="Y24" s="54">
        <v>2.9762374222491057</v>
      </c>
      <c r="Z24" s="54">
        <v>3.5761247230846845E-3</v>
      </c>
      <c r="AA24" s="54">
        <v>5832.2596110661671</v>
      </c>
      <c r="AB24" s="54">
        <v>29063.286444779267</v>
      </c>
      <c r="AO24" s="137"/>
      <c r="AP24" s="134"/>
      <c r="AQ24" s="137"/>
      <c r="AR24" s="137"/>
      <c r="AS24" s="137"/>
      <c r="AT24" s="32"/>
    </row>
    <row r="25" spans="1:46" x14ac:dyDescent="0.25">
      <c r="A25" s="75">
        <v>40848</v>
      </c>
      <c r="B25" s="142">
        <f t="shared" si="1"/>
        <v>2011</v>
      </c>
      <c r="C25" s="137">
        <f>'Power Purchases'!C109</f>
        <v>41046292.307692297</v>
      </c>
      <c r="D25" s="137">
        <f>'Power Purchases'!D109</f>
        <v>382853.63867137313</v>
      </c>
      <c r="E25" s="237">
        <f t="shared" si="2"/>
        <v>42235222.935043499</v>
      </c>
      <c r="F25" s="212">
        <v>341.9</v>
      </c>
      <c r="G25" s="212">
        <v>0</v>
      </c>
      <c r="H25" s="137">
        <v>30</v>
      </c>
      <c r="I25" s="137">
        <v>0</v>
      </c>
      <c r="J25" s="137">
        <v>352</v>
      </c>
      <c r="K25" s="137">
        <v>1</v>
      </c>
      <c r="L25" s="137">
        <v>0</v>
      </c>
      <c r="M25" s="137">
        <f>CDM!B96</f>
        <v>806076.98867982288</v>
      </c>
      <c r="N25" s="166">
        <f t="shared" si="4"/>
        <v>25596.666666666653</v>
      </c>
      <c r="O25" s="166">
        <v>58946.016666666641</v>
      </c>
      <c r="P25" s="129">
        <v>61.3</v>
      </c>
      <c r="Q25" s="128">
        <v>1.2752776553194847</v>
      </c>
      <c r="R25" s="166">
        <v>290</v>
      </c>
      <c r="S25" s="76">
        <f t="shared" si="0"/>
        <v>42009144.121581122</v>
      </c>
      <c r="T25" s="74">
        <f t="shared" si="3"/>
        <v>-5.3528500088676932E-3</v>
      </c>
      <c r="U25" s="127"/>
      <c r="V25" s="36" t="s">
        <v>118</v>
      </c>
      <c r="W25" s="56">
        <v>-662486.50671588618</v>
      </c>
      <c r="X25" s="54">
        <v>259855.13854269322</v>
      </c>
      <c r="Y25" s="54">
        <v>-2.5494454734711436</v>
      </c>
      <c r="Z25" s="54">
        <v>1.2141705360736596E-2</v>
      </c>
      <c r="AA25" s="54">
        <v>-1177356.1541751553</v>
      </c>
      <c r="AB25" s="54">
        <v>-147616.85925661691</v>
      </c>
      <c r="AO25" s="137"/>
      <c r="AP25" s="134"/>
      <c r="AQ25" s="137"/>
      <c r="AR25" s="137"/>
      <c r="AS25" s="137"/>
      <c r="AT25" s="32"/>
    </row>
    <row r="26" spans="1:46" x14ac:dyDescent="0.25">
      <c r="A26" s="75">
        <v>40878</v>
      </c>
      <c r="B26" s="142">
        <f t="shared" si="1"/>
        <v>2011</v>
      </c>
      <c r="C26" s="137">
        <f>'Power Purchases'!C110</f>
        <v>40718976.92307692</v>
      </c>
      <c r="D26" s="137">
        <f>'Power Purchases'!D110</f>
        <v>390709.75267158</v>
      </c>
      <c r="E26" s="237">
        <f t="shared" si="2"/>
        <v>41946848.958209023</v>
      </c>
      <c r="F26" s="212">
        <v>534</v>
      </c>
      <c r="G26" s="212">
        <v>0</v>
      </c>
      <c r="H26" s="137">
        <v>31</v>
      </c>
      <c r="I26" s="137">
        <v>0</v>
      </c>
      <c r="J26" s="137">
        <v>336</v>
      </c>
      <c r="K26" s="137">
        <v>0</v>
      </c>
      <c r="L26" s="137">
        <v>0</v>
      </c>
      <c r="M26" s="137">
        <f>CDM!B97</f>
        <v>837162.28246052423</v>
      </c>
      <c r="N26" s="166">
        <f>+'Rate Class Customer Model'!I4</f>
        <v>25704</v>
      </c>
      <c r="O26" s="166">
        <v>59008</v>
      </c>
      <c r="P26" s="129">
        <v>61.2</v>
      </c>
      <c r="Q26" s="128">
        <v>1.2767868522275454</v>
      </c>
      <c r="R26" s="166">
        <v>269</v>
      </c>
      <c r="S26" s="76">
        <f t="shared" si="0"/>
        <v>45309220.825485669</v>
      </c>
      <c r="T26" s="74">
        <f t="shared" si="3"/>
        <v>8.0157912948992271E-2</v>
      </c>
      <c r="U26" s="127"/>
      <c r="V26" s="36" t="s">
        <v>119</v>
      </c>
      <c r="W26" s="56">
        <v>1220919.143460768</v>
      </c>
      <c r="X26" s="54">
        <v>177787.91713214325</v>
      </c>
      <c r="Y26" s="54">
        <v>6.8672785145084045</v>
      </c>
      <c r="Z26" s="54">
        <v>3.8499092878724702E-10</v>
      </c>
      <c r="AA26" s="54">
        <v>868655.17542957561</v>
      </c>
      <c r="AB26" s="54">
        <v>1573183.1114919605</v>
      </c>
      <c r="AO26" s="137"/>
      <c r="AP26" s="134"/>
      <c r="AQ26" s="137"/>
      <c r="AR26" s="137"/>
      <c r="AS26" s="137"/>
      <c r="AT26" s="32"/>
    </row>
    <row r="27" spans="1:46" ht="13.8" thickBot="1" x14ac:dyDescent="0.3">
      <c r="A27" s="75">
        <v>40909</v>
      </c>
      <c r="B27" s="142">
        <f t="shared" si="1"/>
        <v>2012</v>
      </c>
      <c r="C27" s="137">
        <f>'Power Purchases'!C111</f>
        <v>45302407.692307696</v>
      </c>
      <c r="D27" s="137">
        <f>'Power Purchases'!D111</f>
        <v>385215.52071866905</v>
      </c>
      <c r="E27" s="237">
        <f t="shared" si="2"/>
        <v>46525102.593057066</v>
      </c>
      <c r="F27" s="212">
        <v>611.1</v>
      </c>
      <c r="G27" s="212">
        <v>0</v>
      </c>
      <c r="H27" s="137">
        <v>31</v>
      </c>
      <c r="I27" s="137">
        <v>0</v>
      </c>
      <c r="J27" s="137">
        <v>352</v>
      </c>
      <c r="K27" s="137">
        <v>0</v>
      </c>
      <c r="L27" s="137">
        <v>0</v>
      </c>
      <c r="M27" s="137">
        <f>CDM!B98</f>
        <v>837479.38003070001</v>
      </c>
      <c r="N27" s="166">
        <f t="shared" ref="N27:N37" si="5">+($N$38-$N$26)/12+N26</f>
        <v>25715.083333333332</v>
      </c>
      <c r="O27" s="166">
        <v>59099.2990228013</v>
      </c>
      <c r="P27" s="129">
        <v>60.8</v>
      </c>
      <c r="Q27" s="128">
        <v>1.2782847318999095</v>
      </c>
      <c r="R27" s="166">
        <v>290</v>
      </c>
      <c r="S27" s="76">
        <f t="shared" si="0"/>
        <v>46363691.56996531</v>
      </c>
      <c r="T27" s="74">
        <f t="shared" si="3"/>
        <v>-3.4693319110669332E-3</v>
      </c>
      <c r="U27" s="127"/>
      <c r="V27" s="48" t="s">
        <v>213</v>
      </c>
      <c r="W27" s="231"/>
      <c r="X27" s="55"/>
      <c r="Y27" s="55"/>
      <c r="Z27" s="55"/>
      <c r="AA27" s="55"/>
      <c r="AB27" s="55"/>
      <c r="AO27" s="137"/>
      <c r="AP27" s="134"/>
      <c r="AQ27" s="137"/>
      <c r="AR27" s="137"/>
      <c r="AS27" s="137"/>
      <c r="AT27" s="32"/>
    </row>
    <row r="28" spans="1:46" x14ac:dyDescent="0.25">
      <c r="A28" s="75">
        <v>40940</v>
      </c>
      <c r="B28" s="142">
        <f t="shared" si="1"/>
        <v>2012</v>
      </c>
      <c r="C28" s="137">
        <f>'Power Purchases'!C112</f>
        <v>41258776.923076928</v>
      </c>
      <c r="D28" s="137">
        <f>'Power Purchases'!D112</f>
        <v>339299.37667020387</v>
      </c>
      <c r="E28" s="237">
        <f t="shared" si="2"/>
        <v>42435872.777348004</v>
      </c>
      <c r="F28" s="212">
        <v>531.70000000000005</v>
      </c>
      <c r="G28" s="212">
        <v>0</v>
      </c>
      <c r="H28" s="137">
        <v>29</v>
      </c>
      <c r="I28" s="137">
        <v>0</v>
      </c>
      <c r="J28" s="137">
        <v>320</v>
      </c>
      <c r="K28" s="137">
        <v>0</v>
      </c>
      <c r="L28" s="137">
        <v>0</v>
      </c>
      <c r="M28" s="137">
        <f>CDM!B99</f>
        <v>837796.47760087578</v>
      </c>
      <c r="N28" s="166">
        <f t="shared" si="5"/>
        <v>25726.166666666664</v>
      </c>
      <c r="O28" s="166">
        <v>59190.598045602601</v>
      </c>
      <c r="P28" s="129">
        <v>60.4</v>
      </c>
      <c r="Q28" s="128">
        <v>1.2797826115722737</v>
      </c>
      <c r="R28" s="166">
        <v>305</v>
      </c>
      <c r="S28" s="76">
        <f t="shared" si="0"/>
        <v>43036878.130008675</v>
      </c>
      <c r="T28" s="74">
        <f t="shared" si="3"/>
        <v>1.4162672129168124E-2</v>
      </c>
      <c r="U28" s="127"/>
      <c r="AO28" s="137"/>
      <c r="AP28" s="134"/>
      <c r="AQ28" s="137"/>
      <c r="AR28" s="137"/>
      <c r="AS28" s="137"/>
      <c r="AT28" s="32"/>
    </row>
    <row r="29" spans="1:46" ht="12.75" customHeight="1" x14ac:dyDescent="0.25">
      <c r="A29" s="75">
        <v>40969</v>
      </c>
      <c r="B29" s="142">
        <f t="shared" si="1"/>
        <v>2012</v>
      </c>
      <c r="C29" s="137">
        <f>'Power Purchases'!C113</f>
        <v>40820361.538461544</v>
      </c>
      <c r="D29" s="137">
        <f>'Power Purchases'!D113</f>
        <v>378123.30557880283</v>
      </c>
      <c r="E29" s="237">
        <f t="shared" si="2"/>
        <v>42036598.419211403</v>
      </c>
      <c r="F29" s="212">
        <v>349.4</v>
      </c>
      <c r="G29" s="212">
        <v>0.2</v>
      </c>
      <c r="H29" s="137">
        <v>31</v>
      </c>
      <c r="I29" s="137">
        <v>1</v>
      </c>
      <c r="J29" s="137">
        <v>352</v>
      </c>
      <c r="K29" s="137">
        <v>0</v>
      </c>
      <c r="L29" s="137">
        <v>0</v>
      </c>
      <c r="M29" s="137">
        <f>CDM!B100</f>
        <v>838113.57517105155</v>
      </c>
      <c r="N29" s="166">
        <f t="shared" si="5"/>
        <v>25737.249999999996</v>
      </c>
      <c r="O29" s="166">
        <v>59281.897068403901</v>
      </c>
      <c r="P29" s="129">
        <v>60.2</v>
      </c>
      <c r="Q29" s="128">
        <v>1.2812804912446381</v>
      </c>
      <c r="R29" s="166">
        <v>371</v>
      </c>
      <c r="S29" s="76">
        <f t="shared" si="0"/>
        <v>41970413.199018389</v>
      </c>
      <c r="T29" s="74">
        <f t="shared" si="3"/>
        <v>-1.5744666001035383E-3</v>
      </c>
      <c r="U29" s="127"/>
      <c r="V29" t="s">
        <v>27</v>
      </c>
      <c r="AO29" s="137"/>
      <c r="AP29" s="134"/>
      <c r="AQ29" s="137"/>
      <c r="AR29" s="137"/>
      <c r="AS29" s="137"/>
      <c r="AT29" s="32"/>
    </row>
    <row r="30" spans="1:46" ht="12.75" customHeight="1" thickBot="1" x14ac:dyDescent="0.3">
      <c r="A30" s="75">
        <v>41000</v>
      </c>
      <c r="B30" s="142">
        <f t="shared" si="1"/>
        <v>2012</v>
      </c>
      <c r="C30" s="137">
        <f>'Power Purchases'!C114</f>
        <v>38841930.769230776</v>
      </c>
      <c r="D30" s="137">
        <f>'Power Purchases'!D114</f>
        <v>358426.38987779547</v>
      </c>
      <c r="E30" s="237">
        <f t="shared" si="2"/>
        <v>40038787.831849799</v>
      </c>
      <c r="F30" s="212">
        <v>321.7</v>
      </c>
      <c r="G30" s="212">
        <v>0</v>
      </c>
      <c r="H30" s="137">
        <v>30</v>
      </c>
      <c r="I30" s="137">
        <v>1</v>
      </c>
      <c r="J30" s="137">
        <v>320</v>
      </c>
      <c r="K30" s="137">
        <v>0</v>
      </c>
      <c r="L30" s="137">
        <v>0</v>
      </c>
      <c r="M30" s="137">
        <f>CDM!B101</f>
        <v>838430.67274122732</v>
      </c>
      <c r="N30" s="166">
        <f t="shared" si="5"/>
        <v>25748.333333333328</v>
      </c>
      <c r="O30" s="166">
        <v>59373.196091205202</v>
      </c>
      <c r="P30" s="129">
        <v>60.4</v>
      </c>
      <c r="Q30" s="128">
        <v>1.2827783709170022</v>
      </c>
      <c r="R30" s="166">
        <v>405</v>
      </c>
      <c r="S30" s="76">
        <f t="shared" si="0"/>
        <v>40134562.098453224</v>
      </c>
      <c r="T30" s="74">
        <f t="shared" si="3"/>
        <v>2.3920371167490549E-3</v>
      </c>
      <c r="U30"/>
      <c r="AO30" s="137"/>
      <c r="AP30" s="134"/>
      <c r="AQ30" s="137"/>
      <c r="AR30" s="137"/>
      <c r="AS30" s="137"/>
      <c r="AT30" s="32"/>
    </row>
    <row r="31" spans="1:46" x14ac:dyDescent="0.25">
      <c r="A31" s="75">
        <v>41030</v>
      </c>
      <c r="B31" s="142">
        <f t="shared" si="1"/>
        <v>2012</v>
      </c>
      <c r="C31" s="137">
        <f>'Power Purchases'!C115</f>
        <v>40032218.18181818</v>
      </c>
      <c r="D31" s="137">
        <f>'Power Purchases'!D115</f>
        <v>410296.94373716693</v>
      </c>
      <c r="E31" s="237">
        <f t="shared" si="2"/>
        <v>41281262.895866744</v>
      </c>
      <c r="F31" s="212">
        <v>80.7</v>
      </c>
      <c r="G31" s="212">
        <v>36.700000000000003</v>
      </c>
      <c r="H31" s="137">
        <v>31</v>
      </c>
      <c r="I31" s="137">
        <v>1</v>
      </c>
      <c r="J31" s="137">
        <v>352</v>
      </c>
      <c r="K31" s="137">
        <v>0</v>
      </c>
      <c r="L31" s="137">
        <v>0</v>
      </c>
      <c r="M31" s="137">
        <f>CDM!B102</f>
        <v>838747.77031140309</v>
      </c>
      <c r="N31" s="166">
        <f t="shared" si="5"/>
        <v>25759.416666666661</v>
      </c>
      <c r="O31" s="166">
        <v>59464.495114006502</v>
      </c>
      <c r="P31" s="129">
        <v>60.8</v>
      </c>
      <c r="Q31" s="128">
        <v>1.2842762505893663</v>
      </c>
      <c r="R31" s="166">
        <v>457</v>
      </c>
      <c r="S31" s="76">
        <f t="shared" si="0"/>
        <v>41814328.517981716</v>
      </c>
      <c r="T31" s="74">
        <f t="shared" si="3"/>
        <v>1.2913016335271664E-2</v>
      </c>
      <c r="U31"/>
      <c r="V31" s="50" t="s">
        <v>28</v>
      </c>
      <c r="W31" s="50"/>
      <c r="AO31" s="137"/>
      <c r="AP31" s="134"/>
      <c r="AQ31" s="137"/>
      <c r="AR31" s="137"/>
      <c r="AS31" s="137"/>
      <c r="AT31" s="32"/>
    </row>
    <row r="32" spans="1:46" x14ac:dyDescent="0.25">
      <c r="A32" s="75">
        <v>41061</v>
      </c>
      <c r="B32" s="142">
        <f t="shared" si="1"/>
        <v>2012</v>
      </c>
      <c r="C32" s="137">
        <f>'Power Purchases'!C116</f>
        <v>45247672.727272727</v>
      </c>
      <c r="D32" s="137">
        <f>'Power Purchases'!D116</f>
        <v>427929.35551841708</v>
      </c>
      <c r="E32" s="237">
        <f t="shared" si="2"/>
        <v>46514666.950672723</v>
      </c>
      <c r="F32" s="212">
        <v>23.2</v>
      </c>
      <c r="G32" s="212">
        <v>101.6</v>
      </c>
      <c r="H32" s="137">
        <v>30</v>
      </c>
      <c r="I32" s="137">
        <v>0</v>
      </c>
      <c r="J32" s="137">
        <v>336</v>
      </c>
      <c r="K32" s="137">
        <v>0</v>
      </c>
      <c r="L32" s="137">
        <v>0</v>
      </c>
      <c r="M32" s="137">
        <f>CDM!B103</f>
        <v>839064.86788157886</v>
      </c>
      <c r="N32" s="166">
        <f t="shared" si="5"/>
        <v>25770.499999999993</v>
      </c>
      <c r="O32" s="166">
        <v>59555.794136807803</v>
      </c>
      <c r="P32" s="129">
        <v>61.3</v>
      </c>
      <c r="Q32" s="128">
        <v>1.2857741302617307</v>
      </c>
      <c r="R32" s="166">
        <v>462</v>
      </c>
      <c r="S32" s="76">
        <f t="shared" si="0"/>
        <v>46274400.186478399</v>
      </c>
      <c r="T32" s="74">
        <f t="shared" si="3"/>
        <v>-5.1653979259728899E-3</v>
      </c>
      <c r="U32"/>
      <c r="V32" s="36" t="s">
        <v>29</v>
      </c>
      <c r="W32" s="36">
        <v>0.96801963975304006</v>
      </c>
      <c r="AO32" s="137"/>
      <c r="AP32" s="134"/>
      <c r="AQ32" s="137"/>
      <c r="AR32" s="137"/>
      <c r="AS32" s="137"/>
      <c r="AT32" s="32"/>
    </row>
    <row r="33" spans="1:46" x14ac:dyDescent="0.25">
      <c r="A33" s="75">
        <v>41091</v>
      </c>
      <c r="B33" s="142">
        <f t="shared" si="1"/>
        <v>2012</v>
      </c>
      <c r="C33" s="137">
        <f>'Power Purchases'!C117</f>
        <v>51327900</v>
      </c>
      <c r="D33" s="137">
        <f>'Power Purchases'!D117</f>
        <v>403078.17882056732</v>
      </c>
      <c r="E33" s="237">
        <f t="shared" si="2"/>
        <v>52570360.14427232</v>
      </c>
      <c r="F33" s="212">
        <v>0</v>
      </c>
      <c r="G33" s="212">
        <v>195.4</v>
      </c>
      <c r="H33" s="137">
        <v>31</v>
      </c>
      <c r="I33" s="137">
        <v>0</v>
      </c>
      <c r="J33" s="137">
        <v>336</v>
      </c>
      <c r="K33" s="137">
        <v>0</v>
      </c>
      <c r="L33" s="137">
        <v>0</v>
      </c>
      <c r="M33" s="137">
        <f>CDM!B104</f>
        <v>839381.96545175463</v>
      </c>
      <c r="N33" s="166">
        <f t="shared" si="5"/>
        <v>25781.583333333325</v>
      </c>
      <c r="O33" s="166">
        <v>59647.093159609103</v>
      </c>
      <c r="P33" s="129">
        <v>61.7</v>
      </c>
      <c r="Q33" s="128">
        <v>1.2872720099340949</v>
      </c>
      <c r="R33" s="166">
        <v>467</v>
      </c>
      <c r="S33" s="76">
        <f t="shared" si="0"/>
        <v>53568803.682560287</v>
      </c>
      <c r="T33" s="74">
        <f t="shared" si="3"/>
        <v>1.8992518513243448E-2</v>
      </c>
      <c r="U33"/>
      <c r="V33" s="36" t="s">
        <v>30</v>
      </c>
      <c r="W33" s="36">
        <v>0.93706202294760554</v>
      </c>
      <c r="AO33" s="137"/>
      <c r="AP33" s="134"/>
      <c r="AQ33" s="137"/>
      <c r="AR33" s="137"/>
      <c r="AS33" s="137"/>
      <c r="AT33" s="32"/>
    </row>
    <row r="34" spans="1:46" x14ac:dyDescent="0.25">
      <c r="A34" s="75">
        <v>41122</v>
      </c>
      <c r="B34" s="142">
        <f t="shared" si="1"/>
        <v>2012</v>
      </c>
      <c r="C34" s="137">
        <f>'Power Purchases'!C118</f>
        <v>45780536.36363636</v>
      </c>
      <c r="D34" s="137">
        <f>'Power Purchases'!D118</f>
        <v>538169.78510818677</v>
      </c>
      <c r="E34" s="237">
        <f t="shared" si="2"/>
        <v>47158405.211766474</v>
      </c>
      <c r="F34" s="212">
        <v>2</v>
      </c>
      <c r="G34" s="212">
        <v>112.1</v>
      </c>
      <c r="H34" s="137">
        <v>31</v>
      </c>
      <c r="I34" s="137">
        <v>0</v>
      </c>
      <c r="J34" s="137">
        <v>352</v>
      </c>
      <c r="K34" s="137">
        <v>0</v>
      </c>
      <c r="L34" s="137">
        <v>0</v>
      </c>
      <c r="M34" s="137">
        <f>CDM!B105</f>
        <v>839699.0630219304</v>
      </c>
      <c r="N34" s="166">
        <f t="shared" si="5"/>
        <v>25792.666666666657</v>
      </c>
      <c r="O34" s="166">
        <v>59738.392182410404</v>
      </c>
      <c r="P34" s="129">
        <v>62.1</v>
      </c>
      <c r="Q34" s="128">
        <v>1.288769889606459</v>
      </c>
      <c r="R34" s="166">
        <v>432</v>
      </c>
      <c r="S34" s="76">
        <f t="shared" si="0"/>
        <v>48057794.296085</v>
      </c>
      <c r="T34" s="74">
        <f t="shared" si="3"/>
        <v>1.9071660296394413E-2</v>
      </c>
      <c r="U34"/>
      <c r="V34" s="36" t="s">
        <v>31</v>
      </c>
      <c r="W34" s="36">
        <v>0.93252595252941495</v>
      </c>
      <c r="AO34" s="137"/>
      <c r="AP34" s="134"/>
      <c r="AQ34" s="137"/>
      <c r="AR34" s="137"/>
      <c r="AS34" s="137"/>
      <c r="AT34" s="32"/>
    </row>
    <row r="35" spans="1:46" x14ac:dyDescent="0.25">
      <c r="A35" s="75">
        <v>41153</v>
      </c>
      <c r="B35" s="142">
        <f t="shared" si="1"/>
        <v>2012</v>
      </c>
      <c r="C35" s="137">
        <f>'Power Purchases'!C119</f>
        <v>39949536.36363636</v>
      </c>
      <c r="D35" s="137">
        <f>'Power Purchases'!D119</f>
        <v>400179.9868515447</v>
      </c>
      <c r="E35" s="237">
        <f t="shared" si="2"/>
        <v>41189732.511080012</v>
      </c>
      <c r="F35" s="212">
        <v>85</v>
      </c>
      <c r="G35" s="212">
        <v>35.6</v>
      </c>
      <c r="H35" s="137">
        <v>30</v>
      </c>
      <c r="I35" s="137">
        <v>0</v>
      </c>
      <c r="J35" s="137">
        <v>304</v>
      </c>
      <c r="K35" s="137">
        <v>1</v>
      </c>
      <c r="L35" s="137">
        <v>0</v>
      </c>
      <c r="M35" s="137">
        <f>CDM!B106</f>
        <v>840016.16059210617</v>
      </c>
      <c r="N35" s="166">
        <f t="shared" si="5"/>
        <v>25803.749999999989</v>
      </c>
      <c r="O35" s="166">
        <v>59829.691205211704</v>
      </c>
      <c r="P35" s="129">
        <v>62.1</v>
      </c>
      <c r="Q35" s="128">
        <v>1.2902677692788231</v>
      </c>
      <c r="R35" s="166">
        <v>374</v>
      </c>
      <c r="S35" s="76">
        <f t="shared" ref="S35:S66" si="6">+$W$19+F35*$W$20+G35*$W$21+H35*$W$22+I35*$W$23+J35*$W$24+K35*$W$25+L35*$W$26+M35*$W$27</f>
        <v>41071449.223912455</v>
      </c>
      <c r="T35" s="74">
        <f t="shared" si="3"/>
        <v>-2.8716692232885577E-3</v>
      </c>
      <c r="U35"/>
      <c r="V35" s="36" t="s">
        <v>32</v>
      </c>
      <c r="W35" s="36">
        <v>889358.00562395947</v>
      </c>
      <c r="AO35" s="137"/>
      <c r="AP35" s="134"/>
      <c r="AQ35" s="137"/>
      <c r="AR35" s="137"/>
      <c r="AS35" s="137"/>
      <c r="AT35" s="32"/>
    </row>
    <row r="36" spans="1:46" ht="13.8" thickBot="1" x14ac:dyDescent="0.3">
      <c r="A36" s="75">
        <v>41183</v>
      </c>
      <c r="B36" s="142">
        <f t="shared" si="1"/>
        <v>2012</v>
      </c>
      <c r="C36" s="137">
        <f>'Power Purchases'!C120</f>
        <v>40186490.909090906</v>
      </c>
      <c r="D36" s="137">
        <f>'Power Purchases'!D120</f>
        <v>386890.96951008902</v>
      </c>
      <c r="E36" s="237">
        <f t="shared" si="2"/>
        <v>41413715.136763275</v>
      </c>
      <c r="F36" s="212">
        <v>242.5</v>
      </c>
      <c r="G36" s="212">
        <v>1.1000000000000001</v>
      </c>
      <c r="H36" s="137">
        <v>31</v>
      </c>
      <c r="I36" s="137">
        <v>0</v>
      </c>
      <c r="J36" s="137">
        <v>352</v>
      </c>
      <c r="K36" s="137">
        <v>1</v>
      </c>
      <c r="L36" s="137">
        <v>0</v>
      </c>
      <c r="M36" s="137">
        <f>CDM!B107</f>
        <v>840333.25816228194</v>
      </c>
      <c r="N36" s="166">
        <f t="shared" si="5"/>
        <v>25814.833333333321</v>
      </c>
      <c r="O36" s="166">
        <v>59920.990228013005</v>
      </c>
      <c r="P36" s="129">
        <v>62.2</v>
      </c>
      <c r="Q36" s="128">
        <v>1.2917656489511875</v>
      </c>
      <c r="R36" s="166">
        <v>340</v>
      </c>
      <c r="S36" s="76">
        <f t="shared" si="6"/>
        <v>42071343.581543297</v>
      </c>
      <c r="T36" s="74">
        <f t="shared" si="3"/>
        <v>1.5879484431867357E-2</v>
      </c>
      <c r="U36"/>
      <c r="V36" s="48" t="s">
        <v>33</v>
      </c>
      <c r="W36" s="48">
        <v>120</v>
      </c>
      <c r="AO36" s="137"/>
      <c r="AP36" s="134"/>
      <c r="AQ36" s="137"/>
      <c r="AR36" s="137"/>
      <c r="AS36" s="137"/>
      <c r="AT36" s="32"/>
    </row>
    <row r="37" spans="1:46" x14ac:dyDescent="0.25">
      <c r="A37" s="75">
        <v>41214</v>
      </c>
      <c r="B37" s="142">
        <f t="shared" si="1"/>
        <v>2012</v>
      </c>
      <c r="C37" s="137">
        <f>'Power Purchases'!C121</f>
        <v>40724163.636363633</v>
      </c>
      <c r="D37" s="137">
        <f>'Power Purchases'!D121</f>
        <v>372750.95491154783</v>
      </c>
      <c r="E37" s="237">
        <f t="shared" si="2"/>
        <v>41937564.947007634</v>
      </c>
      <c r="F37" s="212">
        <v>434</v>
      </c>
      <c r="G37" s="212">
        <v>0</v>
      </c>
      <c r="H37" s="137">
        <v>30</v>
      </c>
      <c r="I37" s="137">
        <v>0</v>
      </c>
      <c r="J37" s="137">
        <v>352</v>
      </c>
      <c r="K37" s="137">
        <v>1</v>
      </c>
      <c r="L37" s="137">
        <v>0</v>
      </c>
      <c r="M37" s="137">
        <f>CDM!B108</f>
        <v>840650.35573245771</v>
      </c>
      <c r="N37" s="166">
        <f t="shared" si="5"/>
        <v>25825.916666666653</v>
      </c>
      <c r="O37" s="166">
        <v>60012.289250814305</v>
      </c>
      <c r="P37" s="129">
        <v>62.4</v>
      </c>
      <c r="Q37" s="128">
        <v>1.2932635286235517</v>
      </c>
      <c r="R37" s="166">
        <v>290</v>
      </c>
      <c r="S37" s="76">
        <f t="shared" si="6"/>
        <v>42935288.313962795</v>
      </c>
      <c r="T37" s="74">
        <f t="shared" si="3"/>
        <v>2.3790684275920307E-2</v>
      </c>
      <c r="U37"/>
      <c r="AO37" s="137"/>
      <c r="AP37" s="134"/>
      <c r="AQ37" s="137"/>
      <c r="AR37" s="137"/>
      <c r="AS37" s="137"/>
      <c r="AT37" s="32"/>
    </row>
    <row r="38" spans="1:46" ht="13.8" thickBot="1" x14ac:dyDescent="0.3">
      <c r="A38" s="75">
        <v>41244</v>
      </c>
      <c r="B38" s="142">
        <f t="shared" si="1"/>
        <v>2012</v>
      </c>
      <c r="C38" s="137">
        <f>'Power Purchases'!C122</f>
        <v>42599045.454545446</v>
      </c>
      <c r="D38" s="137">
        <f>'Power Purchases'!D122</f>
        <v>407691.37895022717</v>
      </c>
      <c r="E38" s="237">
        <f t="shared" si="2"/>
        <v>43847704.286798313</v>
      </c>
      <c r="F38" s="212">
        <v>533.5</v>
      </c>
      <c r="G38" s="212">
        <v>0</v>
      </c>
      <c r="H38" s="137">
        <v>31</v>
      </c>
      <c r="I38" s="137">
        <v>0</v>
      </c>
      <c r="J38" s="137">
        <v>304</v>
      </c>
      <c r="K38" s="137">
        <v>0</v>
      </c>
      <c r="L38" s="137">
        <v>0</v>
      </c>
      <c r="M38" s="137">
        <f>CDM!B109</f>
        <v>840967.45330263348</v>
      </c>
      <c r="N38" s="166">
        <f>+'Rate Class Customer Model'!I5</f>
        <v>25837</v>
      </c>
      <c r="O38" s="166">
        <v>60103.588273615635</v>
      </c>
      <c r="P38" s="129">
        <v>62.5</v>
      </c>
      <c r="Q38" s="128">
        <v>1.2947614082959169</v>
      </c>
      <c r="R38" s="166">
        <v>269</v>
      </c>
      <c r="S38" s="76">
        <f t="shared" si="6"/>
        <v>44745864.161380515</v>
      </c>
      <c r="T38" s="74">
        <f t="shared" si="3"/>
        <v>2.0483623696865235E-2</v>
      </c>
      <c r="U38"/>
      <c r="V38" t="s">
        <v>34</v>
      </c>
      <c r="AO38" s="137"/>
      <c r="AP38" s="134"/>
      <c r="AQ38" s="137"/>
      <c r="AR38" s="137"/>
      <c r="AS38" s="137"/>
      <c r="AT38" s="32"/>
    </row>
    <row r="39" spans="1:46" x14ac:dyDescent="0.25">
      <c r="A39" s="75">
        <v>41275</v>
      </c>
      <c r="B39" s="142">
        <f t="shared" si="1"/>
        <v>2013</v>
      </c>
      <c r="C39" s="137">
        <f>'Power Purchases'!C123</f>
        <v>44937375</v>
      </c>
      <c r="D39" s="137">
        <f>'Power Purchases'!D123</f>
        <v>398742.48257928336</v>
      </c>
      <c r="E39" s="237">
        <f t="shared" si="2"/>
        <v>46204983.821271256</v>
      </c>
      <c r="F39" s="212">
        <v>624.4</v>
      </c>
      <c r="G39" s="212">
        <v>0</v>
      </c>
      <c r="H39" s="137">
        <v>31</v>
      </c>
      <c r="I39" s="137">
        <v>0</v>
      </c>
      <c r="J39" s="137">
        <v>352</v>
      </c>
      <c r="K39" s="137">
        <v>0</v>
      </c>
      <c r="L39" s="137">
        <v>0</v>
      </c>
      <c r="M39" s="137">
        <f>CDM!B110</f>
        <v>868866.33869197196</v>
      </c>
      <c r="N39" s="166">
        <f t="shared" ref="N39:N49" si="7">+($N$50-$N$38)/12+N38</f>
        <v>25870.666666666668</v>
      </c>
      <c r="O39" s="166">
        <v>60194.887296416935</v>
      </c>
      <c r="P39" s="129">
        <v>62.2</v>
      </c>
      <c r="Q39" s="128">
        <v>1.2970057203142145</v>
      </c>
      <c r="R39" s="166">
        <v>290</v>
      </c>
      <c r="S39" s="76">
        <f t="shared" si="6"/>
        <v>46497434.43379458</v>
      </c>
      <c r="T39" s="74">
        <f t="shared" si="3"/>
        <v>6.3294170528134701E-3</v>
      </c>
      <c r="U39"/>
      <c r="V39" s="49"/>
      <c r="W39" s="49" t="s">
        <v>38</v>
      </c>
      <c r="X39" s="49" t="s">
        <v>39</v>
      </c>
      <c r="Y39" s="49" t="s">
        <v>40</v>
      </c>
      <c r="Z39" s="49" t="s">
        <v>41</v>
      </c>
      <c r="AA39" s="49" t="s">
        <v>42</v>
      </c>
      <c r="AO39" s="137"/>
      <c r="AP39" s="134"/>
      <c r="AQ39" s="137"/>
      <c r="AR39" s="137"/>
      <c r="AS39" s="137"/>
      <c r="AT39" s="32"/>
    </row>
    <row r="40" spans="1:46" x14ac:dyDescent="0.25">
      <c r="A40" s="75">
        <v>41306</v>
      </c>
      <c r="B40" s="142">
        <f t="shared" si="1"/>
        <v>2013</v>
      </c>
      <c r="C40" s="137">
        <f>'Power Purchases'!C124</f>
        <v>40978383.333333336</v>
      </c>
      <c r="D40" s="137">
        <f>'Power Purchases'!D124</f>
        <v>345743.62051980384</v>
      </c>
      <c r="E40" s="237">
        <f t="shared" si="2"/>
        <v>42220892.177934445</v>
      </c>
      <c r="F40" s="212">
        <v>631.5</v>
      </c>
      <c r="G40" s="212">
        <v>0</v>
      </c>
      <c r="H40" s="137">
        <v>28</v>
      </c>
      <c r="I40" s="137">
        <v>0</v>
      </c>
      <c r="J40" s="137">
        <v>304</v>
      </c>
      <c r="K40" s="137">
        <v>0</v>
      </c>
      <c r="L40" s="137">
        <v>0</v>
      </c>
      <c r="M40" s="137">
        <f>CDM!B111</f>
        <v>896765.22408131044</v>
      </c>
      <c r="N40" s="166">
        <f t="shared" si="7"/>
        <v>25904.333333333336</v>
      </c>
      <c r="O40" s="166">
        <v>60286.186319218235</v>
      </c>
      <c r="P40" s="129">
        <v>61.7</v>
      </c>
      <c r="Q40" s="128">
        <v>1.299253922575458</v>
      </c>
      <c r="R40" s="166">
        <v>305</v>
      </c>
      <c r="S40" s="76">
        <f t="shared" si="6"/>
        <v>42776263.102074265</v>
      </c>
      <c r="T40" s="74">
        <f t="shared" si="3"/>
        <v>1.3153936250311379E-2</v>
      </c>
      <c r="U40"/>
      <c r="V40" s="36" t="s">
        <v>35</v>
      </c>
      <c r="W40" s="36">
        <v>8</v>
      </c>
      <c r="X40" s="36">
        <v>1307169102144877.3</v>
      </c>
      <c r="Y40" s="36">
        <v>163396137768109.66</v>
      </c>
      <c r="Z40" s="36">
        <v>206.58013138195335</v>
      </c>
      <c r="AA40" s="36">
        <v>5.7178778339817152E-63</v>
      </c>
      <c r="AO40" s="137"/>
      <c r="AP40" s="134"/>
      <c r="AQ40" s="137"/>
      <c r="AR40" s="137"/>
      <c r="AS40" s="137"/>
      <c r="AT40" s="32"/>
    </row>
    <row r="41" spans="1:46" x14ac:dyDescent="0.25">
      <c r="A41" s="75">
        <v>41334</v>
      </c>
      <c r="B41" s="142">
        <f t="shared" si="1"/>
        <v>2013</v>
      </c>
      <c r="C41" s="137">
        <f>'Power Purchases'!C125</f>
        <v>42439533.333333336</v>
      </c>
      <c r="D41" s="137">
        <f>'Power Purchases'!D125</f>
        <v>382887.52351487195</v>
      </c>
      <c r="E41" s="237">
        <f t="shared" si="2"/>
        <v>43747084.966318861</v>
      </c>
      <c r="F41" s="212">
        <v>554.79999999999995</v>
      </c>
      <c r="G41" s="212">
        <v>0</v>
      </c>
      <c r="H41" s="137">
        <v>31</v>
      </c>
      <c r="I41" s="137">
        <v>1</v>
      </c>
      <c r="J41" s="137">
        <v>320</v>
      </c>
      <c r="K41" s="137">
        <v>0</v>
      </c>
      <c r="L41" s="137">
        <v>0</v>
      </c>
      <c r="M41" s="137">
        <f>CDM!B112</f>
        <v>924664.10947064892</v>
      </c>
      <c r="N41" s="166">
        <f t="shared" si="7"/>
        <v>25938.000000000004</v>
      </c>
      <c r="O41" s="166">
        <v>60377.485342019536</v>
      </c>
      <c r="P41" s="129">
        <v>61.3</v>
      </c>
      <c r="Q41" s="128">
        <v>1.3015060218229124</v>
      </c>
      <c r="R41" s="166">
        <v>371</v>
      </c>
      <c r="S41" s="76">
        <f t="shared" si="6"/>
        <v>43463606.695442058</v>
      </c>
      <c r="T41" s="74">
        <f t="shared" si="3"/>
        <v>-6.4799350881333947E-3</v>
      </c>
      <c r="U41"/>
      <c r="V41" s="36" t="s">
        <v>36</v>
      </c>
      <c r="W41" s="36">
        <v>111</v>
      </c>
      <c r="X41" s="36">
        <v>87796300500584.359</v>
      </c>
      <c r="Y41" s="36">
        <v>790957662167.42664</v>
      </c>
      <c r="Z41" s="36"/>
      <c r="AA41" s="36"/>
      <c r="AO41" s="137"/>
      <c r="AP41" s="134"/>
      <c r="AQ41" s="137"/>
      <c r="AR41" s="137"/>
      <c r="AS41" s="137"/>
      <c r="AT41" s="32"/>
    </row>
    <row r="42" spans="1:46" ht="13.8" thickBot="1" x14ac:dyDescent="0.3">
      <c r="A42" s="75">
        <v>41365</v>
      </c>
      <c r="B42" s="142">
        <f t="shared" si="1"/>
        <v>2013</v>
      </c>
      <c r="C42" s="137">
        <f>'Power Purchases'!C126</f>
        <v>39718616.666666664</v>
      </c>
      <c r="D42" s="137">
        <f>'Power Purchases'!D126</f>
        <v>379737.28235006944</v>
      </c>
      <c r="E42" s="237">
        <f t="shared" si="2"/>
        <v>41050916.943876721</v>
      </c>
      <c r="F42" s="212">
        <v>358.6</v>
      </c>
      <c r="G42" s="212">
        <v>0</v>
      </c>
      <c r="H42" s="137">
        <v>30</v>
      </c>
      <c r="I42" s="137">
        <v>1</v>
      </c>
      <c r="J42" s="137">
        <v>352</v>
      </c>
      <c r="K42" s="137">
        <v>0</v>
      </c>
      <c r="L42" s="137">
        <v>0</v>
      </c>
      <c r="M42" s="137">
        <f>CDM!B113</f>
        <v>952562.9948599874</v>
      </c>
      <c r="N42" s="166">
        <f t="shared" si="7"/>
        <v>25971.666666666672</v>
      </c>
      <c r="O42" s="166">
        <v>60468.784364820836</v>
      </c>
      <c r="P42" s="129">
        <v>61.5</v>
      </c>
      <c r="Q42" s="128">
        <v>1.3037620248115311</v>
      </c>
      <c r="R42" s="166">
        <v>405</v>
      </c>
      <c r="S42" s="76">
        <f t="shared" si="6"/>
        <v>41063951.863564819</v>
      </c>
      <c r="T42" s="74">
        <f t="shared" si="3"/>
        <v>3.1753053667276146E-4</v>
      </c>
      <c r="U42"/>
      <c r="V42" s="48" t="s">
        <v>11</v>
      </c>
      <c r="W42" s="48">
        <v>119</v>
      </c>
      <c r="X42" s="48">
        <v>1394965402645461.5</v>
      </c>
      <c r="Y42" s="48"/>
      <c r="Z42" s="48"/>
      <c r="AA42" s="48"/>
      <c r="AO42" s="137"/>
      <c r="AP42" s="134"/>
      <c r="AQ42" s="137"/>
      <c r="AR42" s="137"/>
      <c r="AS42" s="137"/>
      <c r="AT42" s="32"/>
    </row>
    <row r="43" spans="1:46" ht="13.8" thickBot="1" x14ac:dyDescent="0.3">
      <c r="A43" s="75">
        <v>41395</v>
      </c>
      <c r="B43" s="142">
        <f t="shared" si="1"/>
        <v>2013</v>
      </c>
      <c r="C43" s="137">
        <f>'Power Purchases'!C127</f>
        <v>40198400.000000007</v>
      </c>
      <c r="D43" s="137">
        <f>'Power Purchases'!D127</f>
        <v>419998.04971673439</v>
      </c>
      <c r="E43" s="237">
        <f t="shared" si="2"/>
        <v>41598859.92996607</v>
      </c>
      <c r="F43" s="212">
        <v>109.1</v>
      </c>
      <c r="G43" s="212">
        <v>23.1</v>
      </c>
      <c r="H43" s="137">
        <v>31</v>
      </c>
      <c r="I43" s="137">
        <v>1</v>
      </c>
      <c r="J43" s="137">
        <v>352</v>
      </c>
      <c r="K43" s="137">
        <v>0</v>
      </c>
      <c r="L43" s="137">
        <v>0</v>
      </c>
      <c r="M43" s="137">
        <f>CDM!B114</f>
        <v>980461.88024932588</v>
      </c>
      <c r="N43" s="166">
        <f t="shared" si="7"/>
        <v>26005.333333333339</v>
      </c>
      <c r="O43" s="166">
        <v>60560.083387622137</v>
      </c>
      <c r="P43" s="129">
        <v>62.1</v>
      </c>
      <c r="Q43" s="128">
        <v>1.3060219383079765</v>
      </c>
      <c r="R43" s="166">
        <v>457</v>
      </c>
      <c r="S43" s="76">
        <f t="shared" si="6"/>
        <v>41151296.748701133</v>
      </c>
      <c r="T43" s="74">
        <f t="shared" si="3"/>
        <v>-1.0759025175652259E-2</v>
      </c>
      <c r="U43"/>
      <c r="AO43" s="137"/>
      <c r="AP43" s="134"/>
      <c r="AQ43" s="137"/>
      <c r="AR43" s="137"/>
      <c r="AS43" s="137"/>
      <c r="AT43" s="32"/>
    </row>
    <row r="44" spans="1:46" x14ac:dyDescent="0.25">
      <c r="A44" s="75">
        <v>41426</v>
      </c>
      <c r="B44" s="142">
        <f t="shared" si="1"/>
        <v>2013</v>
      </c>
      <c r="C44" s="137">
        <f>'Power Purchases'!C128</f>
        <v>43010141.666666672</v>
      </c>
      <c r="D44" s="137">
        <f>'Power Purchases'!D128</f>
        <v>430056.66390081553</v>
      </c>
      <c r="E44" s="237">
        <f t="shared" si="2"/>
        <v>44448559.096206151</v>
      </c>
      <c r="F44" s="212">
        <v>33</v>
      </c>
      <c r="G44" s="212">
        <v>59.6</v>
      </c>
      <c r="H44" s="137">
        <v>30</v>
      </c>
      <c r="I44" s="137">
        <v>0</v>
      </c>
      <c r="J44" s="137">
        <v>320</v>
      </c>
      <c r="K44" s="137">
        <v>0</v>
      </c>
      <c r="L44" s="137">
        <v>0</v>
      </c>
      <c r="M44" s="137">
        <f>CDM!B115</f>
        <v>1008360.7656386644</v>
      </c>
      <c r="N44" s="166">
        <f t="shared" si="7"/>
        <v>26039.000000000007</v>
      </c>
      <c r="O44" s="166">
        <v>60651.382410423437</v>
      </c>
      <c r="P44" s="129">
        <v>63</v>
      </c>
      <c r="Q44" s="128">
        <v>1.30828576909064</v>
      </c>
      <c r="R44" s="166">
        <v>462</v>
      </c>
      <c r="S44" s="76">
        <f t="shared" si="6"/>
        <v>43164227.495361768</v>
      </c>
      <c r="T44" s="74">
        <f t="shared" si="3"/>
        <v>-2.889478594940563E-2</v>
      </c>
      <c r="U44"/>
      <c r="V44" s="49"/>
      <c r="W44" s="49" t="s">
        <v>43</v>
      </c>
      <c r="X44" s="49" t="s">
        <v>32</v>
      </c>
      <c r="Y44" s="49" t="s">
        <v>44</v>
      </c>
      <c r="Z44" s="49" t="s">
        <v>45</v>
      </c>
      <c r="AA44" s="49" t="s">
        <v>46</v>
      </c>
      <c r="AB44" s="49" t="s">
        <v>47</v>
      </c>
      <c r="AC44" s="49" t="s">
        <v>48</v>
      </c>
      <c r="AD44" s="49" t="s">
        <v>49</v>
      </c>
      <c r="AO44" s="137"/>
      <c r="AP44" s="134"/>
      <c r="AQ44" s="137"/>
      <c r="AR44" s="137"/>
      <c r="AS44" s="137"/>
      <c r="AT44" s="32"/>
    </row>
    <row r="45" spans="1:46" x14ac:dyDescent="0.25">
      <c r="A45" s="75">
        <v>41456</v>
      </c>
      <c r="B45" s="142">
        <f t="shared" si="1"/>
        <v>2013</v>
      </c>
      <c r="C45" s="137">
        <f>'Power Purchases'!C129</f>
        <v>48990725.000000007</v>
      </c>
      <c r="D45" s="137">
        <f>'Power Purchases'!D129</f>
        <v>469750.45883631299</v>
      </c>
      <c r="E45" s="237">
        <f t="shared" si="2"/>
        <v>50496735.109864317</v>
      </c>
      <c r="F45" s="212">
        <v>1.3</v>
      </c>
      <c r="G45" s="212">
        <v>120.8</v>
      </c>
      <c r="H45" s="137">
        <v>31</v>
      </c>
      <c r="I45" s="137">
        <v>0</v>
      </c>
      <c r="J45" s="137">
        <v>352</v>
      </c>
      <c r="K45" s="137">
        <v>0</v>
      </c>
      <c r="L45" s="137">
        <v>0</v>
      </c>
      <c r="M45" s="137">
        <f>CDM!B116</f>
        <v>1036259.6510280028</v>
      </c>
      <c r="N45" s="166">
        <f t="shared" si="7"/>
        <v>26072.666666666675</v>
      </c>
      <c r="O45" s="166">
        <v>60742.681433224738</v>
      </c>
      <c r="P45" s="129">
        <v>63.4</v>
      </c>
      <c r="Q45" s="128">
        <v>1.3105535239496624</v>
      </c>
      <c r="R45" s="166">
        <v>467</v>
      </c>
      <c r="S45" s="76">
        <f t="shared" si="6"/>
        <v>48657591.735020973</v>
      </c>
      <c r="T45" s="74">
        <f t="shared" si="3"/>
        <v>-3.6421035356879447E-2</v>
      </c>
      <c r="U45"/>
      <c r="V45" s="36" t="s">
        <v>37</v>
      </c>
      <c r="W45" s="247">
        <v>4092061.1806329484</v>
      </c>
      <c r="X45" s="36">
        <v>3168225.865641803</v>
      </c>
      <c r="Y45" s="36">
        <v>1.2915938932920743</v>
      </c>
      <c r="Z45" s="36">
        <v>0.19918082043587876</v>
      </c>
      <c r="AA45" s="36">
        <v>-2185989.8736277004</v>
      </c>
      <c r="AB45" s="36">
        <v>10370112.234893598</v>
      </c>
      <c r="AC45" s="36">
        <v>-2185989.8736277004</v>
      </c>
      <c r="AD45" s="36">
        <v>10370112.234893598</v>
      </c>
      <c r="AO45" s="137"/>
      <c r="AP45" s="134"/>
      <c r="AQ45" s="137"/>
      <c r="AR45" s="137"/>
      <c r="AS45" s="137"/>
      <c r="AT45" s="32"/>
    </row>
    <row r="46" spans="1:46" x14ac:dyDescent="0.25">
      <c r="A46" s="75">
        <v>41487</v>
      </c>
      <c r="B46" s="142">
        <f t="shared" si="1"/>
        <v>2013</v>
      </c>
      <c r="C46" s="137">
        <f>'Power Purchases'!C130</f>
        <v>46219941.666666672</v>
      </c>
      <c r="D46" s="137">
        <f>'Power Purchases'!D130</f>
        <v>459366.37866937078</v>
      </c>
      <c r="E46" s="237">
        <f t="shared" si="2"/>
        <v>47743466.581753388</v>
      </c>
      <c r="F46" s="212">
        <v>4.4000000000000004</v>
      </c>
      <c r="G46" s="212">
        <v>93.8</v>
      </c>
      <c r="H46" s="137">
        <v>31</v>
      </c>
      <c r="I46" s="137">
        <v>0</v>
      </c>
      <c r="J46" s="137">
        <v>320</v>
      </c>
      <c r="K46" s="137">
        <v>0</v>
      </c>
      <c r="L46" s="137">
        <v>1</v>
      </c>
      <c r="M46" s="137">
        <f>CDM!B117</f>
        <v>1064158.5364173413</v>
      </c>
      <c r="N46" s="166">
        <f t="shared" si="7"/>
        <v>26106.333333333343</v>
      </c>
      <c r="O46" s="166">
        <v>60833.980456026038</v>
      </c>
      <c r="P46" s="129">
        <v>63.7</v>
      </c>
      <c r="Q46" s="128">
        <v>1.3128252096869548</v>
      </c>
      <c r="R46" s="166">
        <v>432</v>
      </c>
      <c r="S46" s="76">
        <f t="shared" si="6"/>
        <v>47468069.485717453</v>
      </c>
      <c r="T46" s="74">
        <f t="shared" si="3"/>
        <v>-5.76826769720124E-3</v>
      </c>
      <c r="U46"/>
      <c r="V46" s="36" t="s">
        <v>3</v>
      </c>
      <c r="W46" s="247">
        <v>10084.968513774051</v>
      </c>
      <c r="X46" s="36">
        <v>529.55619047997345</v>
      </c>
      <c r="Y46" s="36">
        <v>19.044189634783319</v>
      </c>
      <c r="Z46" s="36">
        <v>9.1423665019747776E-37</v>
      </c>
      <c r="AA46" s="36">
        <v>9035.6175707157108</v>
      </c>
      <c r="AB46" s="36">
        <v>11134.319456832391</v>
      </c>
      <c r="AC46" s="36">
        <v>9035.6175707157108</v>
      </c>
      <c r="AD46" s="36">
        <v>11134.319456832391</v>
      </c>
      <c r="AO46" s="137"/>
      <c r="AP46" s="134"/>
      <c r="AQ46" s="137"/>
      <c r="AR46" s="137"/>
      <c r="AS46" s="137"/>
      <c r="AT46" s="32"/>
    </row>
    <row r="47" spans="1:46" x14ac:dyDescent="0.25">
      <c r="A47" s="75">
        <v>41518</v>
      </c>
      <c r="B47" s="142">
        <f t="shared" si="1"/>
        <v>2013</v>
      </c>
      <c r="C47" s="137">
        <f>'Power Purchases'!C131</f>
        <v>41314550</v>
      </c>
      <c r="D47" s="137">
        <f>'Power Purchases'!D131</f>
        <v>413458.89162887941</v>
      </c>
      <c r="E47" s="237">
        <f t="shared" si="2"/>
        <v>42820066.313435555</v>
      </c>
      <c r="F47" s="212">
        <v>83</v>
      </c>
      <c r="G47" s="212">
        <v>28.1</v>
      </c>
      <c r="H47" s="137">
        <v>30</v>
      </c>
      <c r="I47" s="137">
        <v>0</v>
      </c>
      <c r="J47" s="137">
        <v>320</v>
      </c>
      <c r="K47" s="137">
        <v>1</v>
      </c>
      <c r="L47" s="137">
        <v>1</v>
      </c>
      <c r="M47" s="137">
        <f>CDM!B118</f>
        <v>1092057.4218066798</v>
      </c>
      <c r="N47" s="166">
        <f t="shared" si="7"/>
        <v>26140.000000000011</v>
      </c>
      <c r="O47" s="166">
        <v>60925.279478827339</v>
      </c>
      <c r="P47" s="129">
        <v>63.4</v>
      </c>
      <c r="Q47" s="128">
        <v>1.3151008331162182</v>
      </c>
      <c r="R47" s="166">
        <v>374</v>
      </c>
      <c r="S47" s="76">
        <f t="shared" si="6"/>
        <v>42028286.081256025</v>
      </c>
      <c r="T47" s="74">
        <f t="shared" si="3"/>
        <v>-1.8490868892725065E-2</v>
      </c>
      <c r="U47"/>
      <c r="V47" s="36" t="s">
        <v>4</v>
      </c>
      <c r="W47" s="247">
        <v>70366.869315663571</v>
      </c>
      <c r="X47" s="36">
        <v>2915.0798177871843</v>
      </c>
      <c r="Y47" s="36">
        <v>24.138916844163308</v>
      </c>
      <c r="Z47" s="36">
        <v>5.5753576608660303E-46</v>
      </c>
      <c r="AA47" s="36">
        <v>64590.444054516527</v>
      </c>
      <c r="AB47" s="36">
        <v>76143.294576810615</v>
      </c>
      <c r="AC47" s="36">
        <v>64590.444054516527</v>
      </c>
      <c r="AD47" s="36">
        <v>76143.294576810615</v>
      </c>
      <c r="AO47" s="137"/>
      <c r="AP47" s="134"/>
      <c r="AQ47" s="137"/>
      <c r="AR47" s="137"/>
      <c r="AS47" s="137"/>
      <c r="AT47" s="32"/>
    </row>
    <row r="48" spans="1:46" x14ac:dyDescent="0.25">
      <c r="A48" s="75">
        <v>41548</v>
      </c>
      <c r="B48" s="142">
        <f t="shared" si="1"/>
        <v>2013</v>
      </c>
      <c r="C48" s="137">
        <f>'Power Purchases'!C132</f>
        <v>41949783.333333336</v>
      </c>
      <c r="D48" s="137">
        <f>'Power Purchases'!D132</f>
        <v>398965.38885897113</v>
      </c>
      <c r="E48" s="237">
        <f t="shared" si="2"/>
        <v>43468705.029388331</v>
      </c>
      <c r="F48" s="212">
        <v>208.5</v>
      </c>
      <c r="G48" s="212">
        <v>0.4</v>
      </c>
      <c r="H48" s="137">
        <v>31</v>
      </c>
      <c r="I48" s="137">
        <v>0</v>
      </c>
      <c r="J48" s="137">
        <v>352</v>
      </c>
      <c r="K48" s="137">
        <v>1</v>
      </c>
      <c r="L48" s="137">
        <v>1</v>
      </c>
      <c r="M48" s="137">
        <f>CDM!B119</f>
        <v>1119956.3071960183</v>
      </c>
      <c r="N48" s="166">
        <f t="shared" si="7"/>
        <v>26173.666666666679</v>
      </c>
      <c r="O48" s="166">
        <v>61016.578501628639</v>
      </c>
      <c r="P48" s="129">
        <v>63.1</v>
      </c>
      <c r="Q48" s="128">
        <v>1.3173804010629648</v>
      </c>
      <c r="R48" s="166">
        <v>340</v>
      </c>
      <c r="S48" s="76">
        <f t="shared" si="6"/>
        <v>42901537.746346466</v>
      </c>
      <c r="T48" s="74">
        <f t="shared" si="3"/>
        <v>-1.3047715193227267E-2</v>
      </c>
      <c r="U48"/>
      <c r="V48" s="36" t="s">
        <v>5</v>
      </c>
      <c r="W48" s="247">
        <v>976515.77864372369</v>
      </c>
      <c r="X48" s="36">
        <v>119344.27796170179</v>
      </c>
      <c r="Y48" s="36">
        <v>8.1823426755080177</v>
      </c>
      <c r="Z48" s="36">
        <v>5.107432829718773E-13</v>
      </c>
      <c r="AA48" s="36">
        <v>740027.12478770874</v>
      </c>
      <c r="AB48" s="36">
        <v>1213004.4324997386</v>
      </c>
      <c r="AC48" s="36">
        <v>740027.12478770874</v>
      </c>
      <c r="AD48" s="36">
        <v>1213004.4324997386</v>
      </c>
      <c r="AO48" s="137"/>
      <c r="AP48" s="134"/>
      <c r="AQ48" s="137"/>
      <c r="AR48" s="137"/>
      <c r="AS48" s="137"/>
      <c r="AT48" s="32"/>
    </row>
    <row r="49" spans="1:46" x14ac:dyDescent="0.25">
      <c r="A49" s="75">
        <v>41579</v>
      </c>
      <c r="B49" s="142">
        <f t="shared" si="1"/>
        <v>2013</v>
      </c>
      <c r="C49" s="137">
        <f>'Power Purchases'!C133</f>
        <v>43942525</v>
      </c>
      <c r="D49" s="137">
        <f>'Power Purchases'!D133</f>
        <v>374272.96262620168</v>
      </c>
      <c r="E49" s="237">
        <f t="shared" si="2"/>
        <v>45464653.15521156</v>
      </c>
      <c r="F49" s="212">
        <v>478.2</v>
      </c>
      <c r="G49" s="212">
        <v>0</v>
      </c>
      <c r="H49" s="137">
        <v>30</v>
      </c>
      <c r="I49" s="137">
        <v>0</v>
      </c>
      <c r="J49" s="137">
        <v>320</v>
      </c>
      <c r="K49" s="137">
        <v>1</v>
      </c>
      <c r="L49" s="137">
        <v>1</v>
      </c>
      <c r="M49" s="137">
        <f>CDM!B120</f>
        <v>1147855.1925853568</v>
      </c>
      <c r="N49" s="166">
        <f t="shared" si="7"/>
        <v>26207.333333333347</v>
      </c>
      <c r="O49" s="166">
        <v>61107.87752442994</v>
      </c>
      <c r="P49" s="129">
        <v>62.6</v>
      </c>
      <c r="Q49" s="128">
        <v>1.3196639203645377</v>
      </c>
      <c r="R49" s="166">
        <v>290</v>
      </c>
      <c r="S49" s="76">
        <f t="shared" si="6"/>
        <v>44042347.486037858</v>
      </c>
      <c r="T49" s="74">
        <f t="shared" si="3"/>
        <v>-3.1283768168605626E-2</v>
      </c>
      <c r="U49"/>
      <c r="V49" s="36" t="s">
        <v>117</v>
      </c>
      <c r="W49" s="247">
        <v>-1742110.1704457973</v>
      </c>
      <c r="X49" s="36">
        <v>245287.69148185261</v>
      </c>
      <c r="Y49" s="36">
        <v>-7.1023138581525025</v>
      </c>
      <c r="Z49" s="36">
        <v>1.2393731843722661E-10</v>
      </c>
      <c r="AA49" s="36">
        <v>-2228164.1058058809</v>
      </c>
      <c r="AB49" s="36">
        <v>-1256056.2350857137</v>
      </c>
      <c r="AC49" s="36">
        <v>-2228164.1058058809</v>
      </c>
      <c r="AD49" s="36">
        <v>-1256056.2350857137</v>
      </c>
      <c r="AO49" s="137"/>
      <c r="AP49" s="134"/>
      <c r="AQ49" s="137"/>
      <c r="AR49" s="137"/>
      <c r="AS49" s="137"/>
      <c r="AT49" s="32"/>
    </row>
    <row r="50" spans="1:46" x14ac:dyDescent="0.25">
      <c r="A50" s="75">
        <v>41609</v>
      </c>
      <c r="B50" s="142">
        <f t="shared" si="1"/>
        <v>2013</v>
      </c>
      <c r="C50" s="137">
        <f>'Power Purchases'!C134</f>
        <v>44817991.666666664</v>
      </c>
      <c r="D50" s="137">
        <f>'Power Purchases'!D134</f>
        <v>391474.16830719967</v>
      </c>
      <c r="E50" s="237">
        <f t="shared" si="2"/>
        <v>46385219.912948556</v>
      </c>
      <c r="F50" s="212">
        <v>687.9</v>
      </c>
      <c r="G50" s="212">
        <v>0</v>
      </c>
      <c r="H50" s="137">
        <v>31</v>
      </c>
      <c r="I50" s="137">
        <v>0</v>
      </c>
      <c r="J50" s="137">
        <v>320</v>
      </c>
      <c r="K50" s="137">
        <v>0</v>
      </c>
      <c r="L50" s="137">
        <v>1</v>
      </c>
      <c r="M50" s="137">
        <f>CDM!B121</f>
        <v>1175754.0779746952</v>
      </c>
      <c r="N50" s="166">
        <f>+'Rate Class Customer Model'!I6</f>
        <v>26241</v>
      </c>
      <c r="O50" s="166">
        <v>61199.176547231269</v>
      </c>
      <c r="P50" s="129">
        <v>62.3</v>
      </c>
      <c r="Q50" s="128">
        <v>1.3003712749753982</v>
      </c>
      <c r="R50" s="166">
        <v>269</v>
      </c>
      <c r="S50" s="76">
        <f t="shared" si="6"/>
        <v>47798571.596238442</v>
      </c>
      <c r="T50" s="74">
        <f t="shared" si="3"/>
        <v>3.0469871350019075E-2</v>
      </c>
      <c r="U50"/>
      <c r="V50" s="36" t="s">
        <v>6</v>
      </c>
      <c r="W50" s="247">
        <v>17624.315680213673</v>
      </c>
      <c r="X50" s="36">
        <v>5619.8352820383398</v>
      </c>
      <c r="Y50" s="36">
        <v>3.1360911478211961</v>
      </c>
      <c r="Z50" s="36">
        <v>2.1919311292543818E-3</v>
      </c>
      <c r="AA50" s="36">
        <v>6488.2369050898487</v>
      </c>
      <c r="AB50" s="36">
        <v>28760.394455337497</v>
      </c>
      <c r="AC50" s="36">
        <v>6488.2369050898487</v>
      </c>
      <c r="AD50" s="36">
        <v>28760.394455337497</v>
      </c>
      <c r="AO50" s="137"/>
      <c r="AP50" s="134"/>
      <c r="AQ50" s="137"/>
      <c r="AR50" s="137"/>
      <c r="AS50" s="137"/>
      <c r="AT50" s="32"/>
    </row>
    <row r="51" spans="1:46" x14ac:dyDescent="0.25">
      <c r="A51" s="75">
        <v>41640</v>
      </c>
      <c r="B51" s="142">
        <f t="shared" si="1"/>
        <v>2014</v>
      </c>
      <c r="C51" s="137">
        <f>'Power Purchases'!C135</f>
        <v>49818208.333333336</v>
      </c>
      <c r="D51" s="137">
        <f>'Power Purchases'!D135</f>
        <v>390182.78346720006</v>
      </c>
      <c r="E51" s="237">
        <f t="shared" si="2"/>
        <v>51390790.875086822</v>
      </c>
      <c r="F51" s="212">
        <v>825.9</v>
      </c>
      <c r="G51" s="212">
        <v>0</v>
      </c>
      <c r="H51" s="137">
        <v>31</v>
      </c>
      <c r="I51" s="137">
        <v>0</v>
      </c>
      <c r="J51" s="137">
        <v>352</v>
      </c>
      <c r="K51" s="137">
        <v>0</v>
      </c>
      <c r="L51" s="137">
        <v>1</v>
      </c>
      <c r="M51" s="137">
        <f>CDM!B122</f>
        <v>1182399.7582862806</v>
      </c>
      <c r="N51" s="166">
        <f t="shared" ref="N51:N61" si="8">+($N$62-$N$50)/12+N50</f>
        <v>26248.3825</v>
      </c>
      <c r="O51" s="166">
        <v>61290.47557003257</v>
      </c>
      <c r="P51" s="129">
        <v>62</v>
      </c>
      <c r="Q51" s="128">
        <v>1.302625311017851</v>
      </c>
      <c r="R51" s="166">
        <v>290</v>
      </c>
      <c r="S51" s="76">
        <f t="shared" si="6"/>
        <v>49744608.243540995</v>
      </c>
      <c r="T51" s="74">
        <f t="shared" si="3"/>
        <v>-3.2032638601478723E-2</v>
      </c>
      <c r="U51"/>
      <c r="V51" s="36" t="s">
        <v>118</v>
      </c>
      <c r="W51" s="247">
        <v>-644859.69273362856</v>
      </c>
      <c r="X51" s="36">
        <v>249151.00370249985</v>
      </c>
      <c r="Y51" s="36">
        <v>-2.5882283561001702</v>
      </c>
      <c r="Z51" s="36">
        <v>1.093730854615736E-2</v>
      </c>
      <c r="AA51" s="36">
        <v>-1138569.0391623478</v>
      </c>
      <c r="AB51" s="36">
        <v>-151150.34630490933</v>
      </c>
      <c r="AC51" s="36">
        <v>-1138569.0391623478</v>
      </c>
      <c r="AD51" s="36">
        <v>-151150.34630490933</v>
      </c>
      <c r="AO51" s="137"/>
      <c r="AP51" s="134"/>
      <c r="AQ51" s="137"/>
      <c r="AR51" s="137"/>
      <c r="AS51" s="137"/>
      <c r="AT51" s="32"/>
    </row>
    <row r="52" spans="1:46" x14ac:dyDescent="0.25">
      <c r="A52" s="75">
        <v>41671</v>
      </c>
      <c r="B52" s="142">
        <f t="shared" si="1"/>
        <v>2014</v>
      </c>
      <c r="C52" s="137">
        <f>'Power Purchases'!C136</f>
        <v>43710325</v>
      </c>
      <c r="D52" s="137">
        <f>'Power Purchases'!D136</f>
        <v>344560.65682029963</v>
      </c>
      <c r="E52" s="237">
        <f t="shared" si="2"/>
        <v>45243931.095418163</v>
      </c>
      <c r="F52" s="212">
        <v>737.1</v>
      </c>
      <c r="G52" s="212">
        <v>0</v>
      </c>
      <c r="H52" s="137">
        <v>28</v>
      </c>
      <c r="I52" s="137">
        <v>0</v>
      </c>
      <c r="J52" s="137">
        <v>304</v>
      </c>
      <c r="K52" s="137">
        <v>0</v>
      </c>
      <c r="L52" s="137">
        <v>1</v>
      </c>
      <c r="M52" s="137">
        <f>CDM!B123</f>
        <v>1189045.4385978659</v>
      </c>
      <c r="N52" s="166">
        <f t="shared" si="8"/>
        <v>26255.764999999999</v>
      </c>
      <c r="O52" s="166">
        <v>61381.77459283387</v>
      </c>
      <c r="P52" s="129">
        <v>61.7</v>
      </c>
      <c r="Q52" s="128">
        <v>1.3048832541586679</v>
      </c>
      <c r="R52" s="166">
        <v>305</v>
      </c>
      <c r="S52" s="76">
        <f t="shared" si="6"/>
        <v>45059080.472630635</v>
      </c>
      <c r="T52" s="74">
        <f t="shared" si="3"/>
        <v>-4.0856446005472658E-3</v>
      </c>
      <c r="U52"/>
      <c r="V52" s="36" t="s">
        <v>119</v>
      </c>
      <c r="W52" s="247">
        <v>1922283.8246596621</v>
      </c>
      <c r="X52" s="36">
        <v>272453.46682291129</v>
      </c>
      <c r="Y52" s="36">
        <v>7.055457385349051</v>
      </c>
      <c r="Z52" s="36">
        <v>1.5643226793408504E-10</v>
      </c>
      <c r="AA52" s="36">
        <v>1382399.0919535717</v>
      </c>
      <c r="AB52" s="36">
        <v>2462168.5573657528</v>
      </c>
      <c r="AC52" s="36">
        <v>1382399.0919535717</v>
      </c>
      <c r="AD52" s="36">
        <v>2462168.5573657528</v>
      </c>
      <c r="AO52" s="137"/>
      <c r="AP52" s="134"/>
      <c r="AQ52" s="137"/>
      <c r="AR52" s="137"/>
      <c r="AS52" s="137"/>
      <c r="AT52" s="32"/>
    </row>
    <row r="53" spans="1:46" ht="13.8" thickBot="1" x14ac:dyDescent="0.3">
      <c r="A53" s="75">
        <v>41699</v>
      </c>
      <c r="B53" s="142">
        <f t="shared" si="1"/>
        <v>2014</v>
      </c>
      <c r="C53" s="137">
        <f>'Power Purchases'!C137</f>
        <v>46032208.333333336</v>
      </c>
      <c r="D53" s="137">
        <f>'Power Purchases'!D137</f>
        <v>369722.30849984067</v>
      </c>
      <c r="E53" s="237">
        <f t="shared" si="2"/>
        <v>47597621.760742627</v>
      </c>
      <c r="F53" s="212">
        <v>690.6</v>
      </c>
      <c r="G53" s="212">
        <v>0</v>
      </c>
      <c r="H53" s="137">
        <v>31</v>
      </c>
      <c r="I53" s="137">
        <v>1</v>
      </c>
      <c r="J53" s="137">
        <v>336</v>
      </c>
      <c r="K53" s="137">
        <v>0</v>
      </c>
      <c r="L53" s="137">
        <v>1</v>
      </c>
      <c r="M53" s="137">
        <f>CDM!B124</f>
        <v>1195691.1189094512</v>
      </c>
      <c r="N53" s="166">
        <f t="shared" si="8"/>
        <v>26263.147499999999</v>
      </c>
      <c r="O53" s="166">
        <v>61473.07361563517</v>
      </c>
      <c r="P53" s="129">
        <v>61.4</v>
      </c>
      <c r="Q53" s="128">
        <v>1.3071451111703298</v>
      </c>
      <c r="R53" s="166">
        <v>371</v>
      </c>
      <c r="S53" s="76">
        <f t="shared" si="6"/>
        <v>46329275.238027453</v>
      </c>
      <c r="T53" s="74">
        <f t="shared" si="3"/>
        <v>-2.6647266728802726E-2</v>
      </c>
      <c r="U53"/>
      <c r="V53" s="48" t="s">
        <v>213</v>
      </c>
      <c r="W53" s="247">
        <v>-1.547573153255932</v>
      </c>
      <c r="X53" s="48">
        <v>0.16595905522788371</v>
      </c>
      <c r="Y53" s="48">
        <v>-9.3250299065086253</v>
      </c>
      <c r="Z53" s="48">
        <v>1.2823292088252597E-15</v>
      </c>
      <c r="AA53" s="48">
        <v>-1.876432100131064</v>
      </c>
      <c r="AB53" s="48">
        <v>-1.2187142063808001</v>
      </c>
      <c r="AC53" s="48">
        <v>-1.876432100131064</v>
      </c>
      <c r="AD53" s="48">
        <v>-1.2187142063808001</v>
      </c>
      <c r="AO53" s="137"/>
      <c r="AP53" s="134"/>
      <c r="AQ53" s="137"/>
      <c r="AR53" s="137"/>
      <c r="AS53" s="137"/>
      <c r="AT53" s="32"/>
    </row>
    <row r="54" spans="1:46" x14ac:dyDescent="0.25">
      <c r="A54" s="75">
        <v>41730</v>
      </c>
      <c r="B54" s="142">
        <f t="shared" si="1"/>
        <v>2014</v>
      </c>
      <c r="C54" s="137">
        <f>'Power Purchases'!C138</f>
        <v>40510400.000000007</v>
      </c>
      <c r="D54" s="137">
        <f>'Power Purchases'!D138</f>
        <v>364211.69791062688</v>
      </c>
      <c r="E54" s="237">
        <f t="shared" si="2"/>
        <v>42076948.497131675</v>
      </c>
      <c r="F54" s="212">
        <v>356.9</v>
      </c>
      <c r="G54" s="212">
        <v>0</v>
      </c>
      <c r="H54" s="137">
        <v>30</v>
      </c>
      <c r="I54" s="137">
        <v>1</v>
      </c>
      <c r="J54" s="137">
        <v>336</v>
      </c>
      <c r="K54" s="137">
        <v>0</v>
      </c>
      <c r="L54" s="137">
        <v>1</v>
      </c>
      <c r="M54" s="137">
        <f>CDM!B125</f>
        <v>1202336.7992210365</v>
      </c>
      <c r="N54" s="166">
        <f t="shared" si="8"/>
        <v>26270.53</v>
      </c>
      <c r="O54" s="166">
        <v>61564.372638436471</v>
      </c>
      <c r="P54" s="129">
        <v>61.8</v>
      </c>
      <c r="Q54" s="128">
        <v>1.3094108888370581</v>
      </c>
      <c r="R54" s="166">
        <v>405</v>
      </c>
      <c r="S54" s="76">
        <f t="shared" si="6"/>
        <v>41988611.686059281</v>
      </c>
      <c r="T54" s="74">
        <f t="shared" si="3"/>
        <v>-2.0994110606289817E-3</v>
      </c>
      <c r="U54"/>
      <c r="AO54" s="137"/>
      <c r="AP54" s="134"/>
      <c r="AQ54" s="137"/>
      <c r="AR54" s="137"/>
      <c r="AS54" s="137"/>
      <c r="AT54" s="32"/>
    </row>
    <row r="55" spans="1:46" x14ac:dyDescent="0.25">
      <c r="A55" s="75">
        <v>41760</v>
      </c>
      <c r="B55" s="142">
        <f t="shared" si="1"/>
        <v>2014</v>
      </c>
      <c r="C55" s="137">
        <f>'Power Purchases'!C139</f>
        <v>40106715.384615391</v>
      </c>
      <c r="D55" s="137">
        <f>'Power Purchases'!D139</f>
        <v>407712.04294844402</v>
      </c>
      <c r="E55" s="237">
        <f t="shared" si="2"/>
        <v>41723409.90709646</v>
      </c>
      <c r="F55" s="212">
        <v>132.1</v>
      </c>
      <c r="G55" s="212">
        <v>11.9</v>
      </c>
      <c r="H55" s="137">
        <v>31</v>
      </c>
      <c r="I55" s="137">
        <v>1</v>
      </c>
      <c r="J55" s="137">
        <v>336</v>
      </c>
      <c r="K55" s="137">
        <v>0</v>
      </c>
      <c r="L55" s="137">
        <v>1</v>
      </c>
      <c r="M55" s="137">
        <f>CDM!B126</f>
        <v>1208982.4795326218</v>
      </c>
      <c r="N55" s="166">
        <f t="shared" si="8"/>
        <v>26277.912499999999</v>
      </c>
      <c r="O55" s="166">
        <v>61655.671661237771</v>
      </c>
      <c r="P55" s="129">
        <v>62.1</v>
      </c>
      <c r="Q55" s="128">
        <v>1.3116805939548331</v>
      </c>
      <c r="R55" s="166">
        <v>457</v>
      </c>
      <c r="S55" s="76">
        <f t="shared" si="6"/>
        <v>41543121.323178567</v>
      </c>
      <c r="T55" s="74">
        <f t="shared" si="3"/>
        <v>-4.3210414565667933E-3</v>
      </c>
      <c r="U55"/>
      <c r="AO55" s="137"/>
      <c r="AP55" s="134"/>
      <c r="AQ55" s="137"/>
      <c r="AR55" s="137"/>
      <c r="AS55" s="137"/>
      <c r="AT55" s="32"/>
    </row>
    <row r="56" spans="1:46" x14ac:dyDescent="0.25">
      <c r="A56" s="75">
        <v>41791</v>
      </c>
      <c r="B56" s="142">
        <f t="shared" si="1"/>
        <v>2014</v>
      </c>
      <c r="C56" s="137">
        <f>'Power Purchases'!C140</f>
        <v>44371569.230769232</v>
      </c>
      <c r="D56" s="137">
        <f>'Power Purchases'!D140</f>
        <v>434286.40581554372</v>
      </c>
      <c r="E56" s="237">
        <f t="shared" si="2"/>
        <v>46021483.796428978</v>
      </c>
      <c r="F56" s="212">
        <v>14.1</v>
      </c>
      <c r="G56" s="212">
        <v>68.099999999999994</v>
      </c>
      <c r="H56" s="137">
        <v>30</v>
      </c>
      <c r="I56" s="137">
        <v>0</v>
      </c>
      <c r="J56" s="137">
        <v>336</v>
      </c>
      <c r="K56" s="137">
        <v>0</v>
      </c>
      <c r="L56" s="137">
        <v>1</v>
      </c>
      <c r="M56" s="137">
        <f>CDM!B127</f>
        <v>1215628.1598442071</v>
      </c>
      <c r="N56" s="166">
        <f t="shared" si="8"/>
        <v>26285.294999999998</v>
      </c>
      <c r="O56" s="166">
        <v>61746.970684039072</v>
      </c>
      <c r="P56" s="129">
        <v>62.2</v>
      </c>
      <c r="Q56" s="128">
        <v>1.3139542333314154</v>
      </c>
      <c r="R56" s="166">
        <v>462</v>
      </c>
      <c r="S56" s="76">
        <f t="shared" si="6"/>
        <v>45067141.63048292</v>
      </c>
      <c r="T56" s="74">
        <f t="shared" si="3"/>
        <v>-2.0736883890304092E-2</v>
      </c>
      <c r="U56"/>
      <c r="AO56" s="137"/>
      <c r="AP56" s="134"/>
      <c r="AQ56" s="137"/>
      <c r="AR56" s="137"/>
      <c r="AS56" s="137"/>
      <c r="AT56" s="32"/>
    </row>
    <row r="57" spans="1:46" x14ac:dyDescent="0.25">
      <c r="A57" s="75">
        <v>41821</v>
      </c>
      <c r="B57" s="142">
        <f t="shared" si="1"/>
        <v>2014</v>
      </c>
      <c r="C57" s="137">
        <f>'Power Purchases'!C141</f>
        <v>45905092.307692312</v>
      </c>
      <c r="D57" s="137">
        <f>'Power Purchases'!D141</f>
        <v>447810.8365780696</v>
      </c>
      <c r="E57" s="237">
        <f t="shared" si="2"/>
        <v>47575176.984426178</v>
      </c>
      <c r="F57" s="212">
        <v>4</v>
      </c>
      <c r="G57" s="212">
        <v>71</v>
      </c>
      <c r="H57" s="137">
        <v>31</v>
      </c>
      <c r="I57" s="137">
        <v>0</v>
      </c>
      <c r="J57" s="137">
        <v>352</v>
      </c>
      <c r="K57" s="137">
        <v>0</v>
      </c>
      <c r="L57" s="137">
        <v>1</v>
      </c>
      <c r="M57" s="137">
        <f>CDM!B128</f>
        <v>1222273.8401557924</v>
      </c>
      <c r="N57" s="166">
        <f t="shared" si="8"/>
        <v>26292.677499999998</v>
      </c>
      <c r="O57" s="166">
        <v>61838.269706840372</v>
      </c>
      <c r="P57" s="129">
        <v>62</v>
      </c>
      <c r="Q57" s="128">
        <v>1.3162318137863656</v>
      </c>
      <c r="R57" s="166">
        <v>467</v>
      </c>
      <c r="S57" s="76">
        <f t="shared" si="6"/>
        <v>46432045.645860612</v>
      </c>
      <c r="T57" s="74">
        <f t="shared" si="3"/>
        <v>-2.402789460856387E-2</v>
      </c>
      <c r="U57"/>
      <c r="AO57" s="137"/>
      <c r="AP57" s="134"/>
      <c r="AQ57" s="137"/>
      <c r="AR57" s="137"/>
      <c r="AS57" s="137"/>
      <c r="AT57" s="32"/>
    </row>
    <row r="58" spans="1:46" x14ac:dyDescent="0.25">
      <c r="A58" s="75">
        <v>41852</v>
      </c>
      <c r="B58" s="142">
        <f t="shared" si="1"/>
        <v>2014</v>
      </c>
      <c r="C58" s="137">
        <f>'Power Purchases'!C142</f>
        <v>45108330.769230776</v>
      </c>
      <c r="D58" s="137">
        <f>'Power Purchases'!D142</f>
        <v>449619.84873813408</v>
      </c>
      <c r="E58" s="237">
        <f t="shared" si="2"/>
        <v>46786870.138436288</v>
      </c>
      <c r="F58" s="212">
        <v>8.8000000000000007</v>
      </c>
      <c r="G58" s="212">
        <v>81.8</v>
      </c>
      <c r="H58" s="137">
        <v>31</v>
      </c>
      <c r="I58" s="137">
        <v>0</v>
      </c>
      <c r="J58" s="137">
        <v>320</v>
      </c>
      <c r="K58" s="137">
        <v>0</v>
      </c>
      <c r="L58" s="137">
        <v>1</v>
      </c>
      <c r="M58" s="137">
        <f>CDM!B129</f>
        <v>1228919.5204673777</v>
      </c>
      <c r="N58" s="166">
        <f t="shared" si="8"/>
        <v>26300.059999999998</v>
      </c>
      <c r="O58" s="166">
        <v>61929.568729641673</v>
      </c>
      <c r="P58" s="129">
        <v>61.8</v>
      </c>
      <c r="Q58" s="128">
        <v>1.318513342151066</v>
      </c>
      <c r="R58" s="166">
        <v>432</v>
      </c>
      <c r="S58" s="76">
        <f t="shared" si="6"/>
        <v>46675299.332031839</v>
      </c>
      <c r="T58" s="74">
        <f t="shared" si="3"/>
        <v>-2.384660612567703E-3</v>
      </c>
      <c r="U58" s="14"/>
      <c r="AO58" s="137"/>
      <c r="AP58" s="134"/>
      <c r="AQ58" s="137"/>
      <c r="AR58" s="137"/>
      <c r="AS58" s="137"/>
      <c r="AT58" s="32"/>
    </row>
    <row r="59" spans="1:46" x14ac:dyDescent="0.25">
      <c r="A59" s="75">
        <v>41883</v>
      </c>
      <c r="B59" s="142">
        <f t="shared" si="1"/>
        <v>2014</v>
      </c>
      <c r="C59" s="137">
        <f>'Power Purchases'!C143</f>
        <v>42012569.230769232</v>
      </c>
      <c r="D59" s="137">
        <f>'Power Purchases'!D143</f>
        <v>409967.99028005893</v>
      </c>
      <c r="E59" s="237">
        <f t="shared" si="2"/>
        <v>43658102.421828255</v>
      </c>
      <c r="F59" s="212">
        <v>69.7</v>
      </c>
      <c r="G59" s="212">
        <v>30.1</v>
      </c>
      <c r="H59" s="137">
        <v>30</v>
      </c>
      <c r="I59" s="137">
        <v>0</v>
      </c>
      <c r="J59" s="137">
        <v>336</v>
      </c>
      <c r="K59" s="137">
        <v>1</v>
      </c>
      <c r="L59" s="137">
        <v>1</v>
      </c>
      <c r="M59" s="137">
        <f>CDM!B130</f>
        <v>1235565.200778963</v>
      </c>
      <c r="N59" s="166">
        <f t="shared" si="8"/>
        <v>26307.442499999997</v>
      </c>
      <c r="O59" s="166">
        <v>62020.867752442973</v>
      </c>
      <c r="P59" s="129">
        <v>61.5</v>
      </c>
      <c r="Q59" s="128">
        <v>1.3207988252687393</v>
      </c>
      <c r="R59" s="166">
        <v>374</v>
      </c>
      <c r="S59" s="76">
        <f t="shared" si="6"/>
        <v>42313210.238064826</v>
      </c>
      <c r="T59" s="74">
        <f t="shared" si="3"/>
        <v>-3.0805099378094086E-2</v>
      </c>
      <c r="U59" s="14"/>
      <c r="AO59" s="137"/>
      <c r="AP59" s="134"/>
      <c r="AQ59" s="137"/>
      <c r="AR59" s="137"/>
      <c r="AS59" s="137"/>
      <c r="AT59" s="32"/>
    </row>
    <row r="60" spans="1:46" x14ac:dyDescent="0.25">
      <c r="A60" s="75">
        <v>41913</v>
      </c>
      <c r="B60" s="142">
        <f t="shared" si="1"/>
        <v>2014</v>
      </c>
      <c r="C60" s="137">
        <f>'Power Purchases'!C144</f>
        <v>41451569.230769232</v>
      </c>
      <c r="D60" s="137">
        <f>'Power Purchases'!D144</f>
        <v>387948.04373114801</v>
      </c>
      <c r="E60" s="237">
        <f t="shared" si="2"/>
        <v>43081728.155590929</v>
      </c>
      <c r="F60" s="212">
        <v>224.3</v>
      </c>
      <c r="G60" s="212">
        <v>1.3</v>
      </c>
      <c r="H60" s="137">
        <v>31</v>
      </c>
      <c r="I60" s="137">
        <v>0</v>
      </c>
      <c r="J60" s="137">
        <v>352</v>
      </c>
      <c r="K60" s="137">
        <v>1</v>
      </c>
      <c r="L60" s="137">
        <v>1</v>
      </c>
      <c r="M60" s="137">
        <f>CDM!B131</f>
        <v>1242210.8810905484</v>
      </c>
      <c r="N60" s="166">
        <f t="shared" si="8"/>
        <v>26314.824999999997</v>
      </c>
      <c r="O60" s="166">
        <v>62112.166775244274</v>
      </c>
      <c r="P60" s="129">
        <v>61.5</v>
      </c>
      <c r="Q60" s="128">
        <v>1.3230882699944708</v>
      </c>
      <c r="R60" s="166">
        <v>340</v>
      </c>
      <c r="S60" s="76">
        <f t="shared" si="6"/>
        <v>43123196.439719975</v>
      </c>
      <c r="T60" s="74">
        <f t="shared" si="3"/>
        <v>9.6254922688528133E-4</v>
      </c>
      <c r="U60" s="14"/>
      <c r="AO60" s="137"/>
      <c r="AP60" s="134"/>
      <c r="AQ60" s="137"/>
      <c r="AR60" s="137"/>
      <c r="AS60" s="137"/>
      <c r="AT60" s="32"/>
    </row>
    <row r="61" spans="1:46" x14ac:dyDescent="0.25">
      <c r="A61" s="75">
        <v>41944</v>
      </c>
      <c r="B61" s="142">
        <f t="shared" si="1"/>
        <v>2014</v>
      </c>
      <c r="C61" s="137">
        <f>'Power Purchases'!C145</f>
        <v>43930638.461538464</v>
      </c>
      <c r="D61" s="137">
        <f>'Power Purchases'!D145</f>
        <v>361048.33803633484</v>
      </c>
      <c r="E61" s="237">
        <f t="shared" si="2"/>
        <v>45540543.360976934</v>
      </c>
      <c r="F61" s="212">
        <v>482.1</v>
      </c>
      <c r="G61" s="212">
        <v>0</v>
      </c>
      <c r="H61" s="137">
        <v>30</v>
      </c>
      <c r="I61" s="137">
        <v>0</v>
      </c>
      <c r="J61" s="137">
        <v>320</v>
      </c>
      <c r="K61" s="137">
        <v>1</v>
      </c>
      <c r="L61" s="137">
        <v>1</v>
      </c>
      <c r="M61" s="137">
        <f>CDM!B132</f>
        <v>1248856.5614021337</v>
      </c>
      <c r="N61" s="166">
        <f t="shared" si="8"/>
        <v>26322.207499999997</v>
      </c>
      <c r="O61" s="166">
        <v>62203.465798045574</v>
      </c>
      <c r="P61" s="129">
        <v>61.4</v>
      </c>
      <c r="Q61" s="128">
        <v>1.3253816831952283</v>
      </c>
      <c r="R61" s="166">
        <v>290</v>
      </c>
      <c r="S61" s="76">
        <f t="shared" si="6"/>
        <v>44081565.318288542</v>
      </c>
      <c r="T61" s="74">
        <f t="shared" si="3"/>
        <v>-3.2036904591230028E-2</v>
      </c>
      <c r="U61" s="14"/>
      <c r="AO61" s="137"/>
      <c r="AP61" s="134"/>
      <c r="AQ61" s="137"/>
      <c r="AR61" s="137"/>
      <c r="AS61" s="137"/>
      <c r="AT61" s="32"/>
    </row>
    <row r="62" spans="1:46" x14ac:dyDescent="0.25">
      <c r="A62" s="75">
        <v>41974</v>
      </c>
      <c r="B62" s="142">
        <f t="shared" si="1"/>
        <v>2014</v>
      </c>
      <c r="C62" s="137">
        <f>'Power Purchases'!C146</f>
        <v>46542090</v>
      </c>
      <c r="D62" s="137">
        <f>'Power Purchases'!D146</f>
        <v>387177.47979959776</v>
      </c>
      <c r="E62" s="237">
        <f t="shared" si="2"/>
        <v>48184769.721513316</v>
      </c>
      <c r="F62" s="212">
        <v>557.29999999999995</v>
      </c>
      <c r="G62" s="212">
        <f>+G50</f>
        <v>0</v>
      </c>
      <c r="H62" s="137">
        <v>31</v>
      </c>
      <c r="I62" s="137">
        <v>0</v>
      </c>
      <c r="J62" s="137">
        <v>336</v>
      </c>
      <c r="K62" s="137">
        <v>0</v>
      </c>
      <c r="L62" s="137">
        <v>1</v>
      </c>
      <c r="M62" s="137">
        <f>CDM!B133</f>
        <v>1255502.241713719</v>
      </c>
      <c r="N62" s="166">
        <f>+'Rate Class Customer Model'!I7</f>
        <v>26329.59</v>
      </c>
      <c r="O62" s="166">
        <v>62294.764820846904</v>
      </c>
      <c r="P62" s="129">
        <v>61.4</v>
      </c>
      <c r="Q62" s="128">
        <v>1.3276790717498821</v>
      </c>
      <c r="R62" s="166">
        <v>269</v>
      </c>
      <c r="S62" s="76">
        <f t="shared" si="6"/>
        <v>46764441.377008252</v>
      </c>
      <c r="T62" s="74">
        <f t="shared" si="3"/>
        <v>-2.9476707115421212E-2</v>
      </c>
      <c r="U62" s="14"/>
      <c r="AO62" s="137"/>
      <c r="AP62" s="134"/>
      <c r="AQ62" s="137"/>
      <c r="AR62" s="137"/>
      <c r="AS62" s="137"/>
      <c r="AT62" s="32"/>
    </row>
    <row r="63" spans="1:46" x14ac:dyDescent="0.25">
      <c r="A63" s="75">
        <v>42005</v>
      </c>
      <c r="B63" s="142">
        <f t="shared" si="1"/>
        <v>2015</v>
      </c>
      <c r="C63" s="137">
        <f>'Power Purchases'!C147</f>
        <v>48816492.307692312</v>
      </c>
      <c r="D63" s="137">
        <f>'Power Purchases'!D147</f>
        <v>362427.56525563047</v>
      </c>
      <c r="E63" s="237">
        <f t="shared" si="2"/>
        <v>50468136.551833905</v>
      </c>
      <c r="F63" s="212">
        <f>[2]en_climate_daily_ON_6158731_201!$Q$32</f>
        <v>792.39999999999975</v>
      </c>
      <c r="G63" s="212">
        <f>[2]en_climate_daily_ON_6158731_201!$S$32</f>
        <v>0</v>
      </c>
      <c r="H63" s="137">
        <v>31</v>
      </c>
      <c r="I63" s="137">
        <v>0</v>
      </c>
      <c r="J63" s="137">
        <v>336</v>
      </c>
      <c r="K63" s="137">
        <v>0</v>
      </c>
      <c r="L63" s="137">
        <v>1</v>
      </c>
      <c r="M63" s="137">
        <f>CDM!B134</f>
        <v>1289216.6788859672</v>
      </c>
      <c r="N63" s="166">
        <f t="shared" ref="N63:N73" si="9">+($N$74-$N$62)/12+N62</f>
        <v>26372.124166666668</v>
      </c>
      <c r="O63" s="166">
        <v>62386.063843648204</v>
      </c>
      <c r="P63" s="129">
        <v>61.489309090909089</v>
      </c>
      <c r="Q63" s="128">
        <v>1.3304138732565836</v>
      </c>
      <c r="R63" s="166">
        <v>290</v>
      </c>
      <c r="S63" s="76">
        <f t="shared" si="6"/>
        <v>49128572.751915224</v>
      </c>
      <c r="T63" s="74">
        <f t="shared" si="3"/>
        <v>-2.6542763245139163E-2</v>
      </c>
      <c r="AO63" s="137"/>
      <c r="AP63" s="134"/>
      <c r="AQ63" s="137"/>
      <c r="AR63" s="137"/>
      <c r="AS63" s="137"/>
      <c r="AT63" s="32"/>
    </row>
    <row r="64" spans="1:46" x14ac:dyDescent="0.25">
      <c r="A64" s="75">
        <v>42036</v>
      </c>
      <c r="B64" s="142">
        <f t="shared" si="1"/>
        <v>2015</v>
      </c>
      <c r="C64" s="137">
        <f>'Power Purchases'!C148</f>
        <v>45756884.615384616</v>
      </c>
      <c r="D64" s="137">
        <f>'Power Purchases'!D148</f>
        <v>322990.48154355906</v>
      </c>
      <c r="E64" s="237">
        <f t="shared" si="2"/>
        <v>47402806.212986387</v>
      </c>
      <c r="F64" s="212">
        <f>[2]en_climate_daily_ON_6158731_201!$Q$61</f>
        <v>856.8</v>
      </c>
      <c r="G64" s="212">
        <f>[2]en_climate_daily_ON_6158731_201!$S$61</f>
        <v>0</v>
      </c>
      <c r="H64" s="137">
        <v>28</v>
      </c>
      <c r="I64" s="137">
        <v>0</v>
      </c>
      <c r="J64" s="137">
        <v>304</v>
      </c>
      <c r="K64" s="137">
        <v>0</v>
      </c>
      <c r="L64" s="137">
        <v>1</v>
      </c>
      <c r="M64" s="137">
        <f>CDM!B135</f>
        <v>1322931.1160582155</v>
      </c>
      <c r="N64" s="166">
        <f t="shared" si="9"/>
        <v>26414.658333333336</v>
      </c>
      <c r="O64" s="166">
        <v>62477.362866449505</v>
      </c>
      <c r="P64" s="129">
        <v>61.578618181818179</v>
      </c>
      <c r="Q64" s="128">
        <v>1.3331543080066195</v>
      </c>
      <c r="R64" s="166">
        <v>305</v>
      </c>
      <c r="S64" s="76">
        <f t="shared" si="6"/>
        <v>46262766.24709411</v>
      </c>
      <c r="T64" s="74">
        <f t="shared" si="3"/>
        <v>-2.4050052243108643E-2</v>
      </c>
      <c r="AO64" s="137"/>
      <c r="AP64" s="134"/>
      <c r="AQ64" s="137"/>
      <c r="AR64" s="137"/>
      <c r="AS64" s="137"/>
      <c r="AT64" s="32"/>
    </row>
    <row r="65" spans="1:46" x14ac:dyDescent="0.25">
      <c r="A65" s="75">
        <v>42064</v>
      </c>
      <c r="B65" s="142">
        <f t="shared" si="1"/>
        <v>2015</v>
      </c>
      <c r="C65" s="137">
        <f>'Power Purchases'!C149</f>
        <v>45128223.07692308</v>
      </c>
      <c r="D65" s="137">
        <f>'Power Purchases'!D149</f>
        <v>350937.04062846134</v>
      </c>
      <c r="E65" s="237">
        <f t="shared" si="2"/>
        <v>46835805.670782007</v>
      </c>
      <c r="F65" s="212">
        <f>[2]en_climate_daily_ON_6158731_201!$Q$92</f>
        <v>615.49999999999989</v>
      </c>
      <c r="G65" s="212">
        <f>[2]en_climate_daily_ON_6158731_201!$S$92</f>
        <v>0</v>
      </c>
      <c r="H65" s="137">
        <v>31</v>
      </c>
      <c r="I65" s="137">
        <v>1</v>
      </c>
      <c r="J65" s="137">
        <v>352</v>
      </c>
      <c r="K65" s="137">
        <v>0</v>
      </c>
      <c r="L65" s="137">
        <v>1</v>
      </c>
      <c r="M65" s="137">
        <f>CDM!B136</f>
        <v>1356645.5532304638</v>
      </c>
      <c r="N65" s="166">
        <f t="shared" si="9"/>
        <v>26457.192500000005</v>
      </c>
      <c r="O65" s="166">
        <v>62568.661889250805</v>
      </c>
      <c r="P65" s="129">
        <v>61.667927272727269</v>
      </c>
      <c r="Q65" s="128">
        <v>1.3359003876035485</v>
      </c>
      <c r="R65" s="166">
        <v>371</v>
      </c>
      <c r="S65" s="76">
        <f t="shared" si="6"/>
        <v>45853244.939287856</v>
      </c>
      <c r="T65" s="74">
        <f t="shared" si="3"/>
        <v>-2.0978836969321329E-2</v>
      </c>
      <c r="AO65" s="137"/>
      <c r="AP65" s="134"/>
      <c r="AQ65" s="137"/>
      <c r="AR65" s="137"/>
      <c r="AS65" s="137"/>
      <c r="AT65" s="32"/>
    </row>
    <row r="66" spans="1:46" x14ac:dyDescent="0.25">
      <c r="A66" s="75">
        <v>42095</v>
      </c>
      <c r="B66" s="142">
        <f t="shared" si="1"/>
        <v>2015</v>
      </c>
      <c r="C66" s="137">
        <f>'Power Purchases'!C150</f>
        <v>39795161.538461536</v>
      </c>
      <c r="D66" s="137">
        <f>'Power Purchases'!D150</f>
        <v>343438.7201936944</v>
      </c>
      <c r="E66" s="237">
        <f t="shared" si="2"/>
        <v>41528960.249057941</v>
      </c>
      <c r="F66" s="212">
        <f>[2]en_climate_daily_ON_6158731_201!$Q$122</f>
        <v>313.7</v>
      </c>
      <c r="G66" s="212">
        <f>[2]en_climate_daily_ON_6158731_201!$S$122</f>
        <v>0</v>
      </c>
      <c r="H66" s="137">
        <v>30</v>
      </c>
      <c r="I66" s="137">
        <v>1</v>
      </c>
      <c r="J66" s="137">
        <v>336</v>
      </c>
      <c r="K66" s="137">
        <v>0</v>
      </c>
      <c r="L66" s="137">
        <v>1</v>
      </c>
      <c r="M66" s="137">
        <f>CDM!B137</f>
        <v>1390359.990402712</v>
      </c>
      <c r="N66" s="166">
        <f t="shared" si="9"/>
        <v>26499.726666666673</v>
      </c>
      <c r="O66" s="166">
        <v>62659.960912052105</v>
      </c>
      <c r="P66" s="129">
        <v>61.757236363636359</v>
      </c>
      <c r="Q66" s="128">
        <v>1.3386521236748312</v>
      </c>
      <c r="R66" s="166">
        <v>405</v>
      </c>
      <c r="S66" s="76">
        <f t="shared" si="6"/>
        <v>41554198.774974719</v>
      </c>
      <c r="T66" s="74">
        <f t="shared" si="3"/>
        <v>6.0773315212846125E-4</v>
      </c>
      <c r="AO66" s="137"/>
      <c r="AP66" s="134"/>
      <c r="AQ66" s="137"/>
      <c r="AR66" s="137"/>
      <c r="AS66" s="137"/>
      <c r="AT66" s="32"/>
    </row>
    <row r="67" spans="1:46" x14ac:dyDescent="0.25">
      <c r="A67" s="75">
        <v>42125</v>
      </c>
      <c r="B67" s="142">
        <f t="shared" si="1"/>
        <v>2015</v>
      </c>
      <c r="C67" s="137">
        <f>'Power Purchases'!C151</f>
        <v>41355323.07692308</v>
      </c>
      <c r="D67" s="137">
        <f>'Power Purchases'!D151</f>
        <v>401949.59698020766</v>
      </c>
      <c r="E67" s="237">
        <f t="shared" si="2"/>
        <v>43181347.101478249</v>
      </c>
      <c r="F67" s="212">
        <f>[2]en_climate_daily_ON_6158731_201!$Q$153</f>
        <v>89.3</v>
      </c>
      <c r="G67" s="212">
        <f>[2]en_climate_daily_ON_6158731_201!$S$153</f>
        <v>34.1</v>
      </c>
      <c r="H67" s="137">
        <v>31</v>
      </c>
      <c r="I67" s="137">
        <v>1</v>
      </c>
      <c r="J67" s="137">
        <v>320</v>
      </c>
      <c r="K67" s="137">
        <v>0</v>
      </c>
      <c r="L67" s="137">
        <v>1</v>
      </c>
      <c r="M67" s="137">
        <f>CDM!B138</f>
        <v>1424074.4275749603</v>
      </c>
      <c r="N67" s="166">
        <f t="shared" si="9"/>
        <v>26542.260833333341</v>
      </c>
      <c r="O67" s="166">
        <v>62751.259934853406</v>
      </c>
      <c r="P67" s="129">
        <v>61.846545454545449</v>
      </c>
      <c r="Q67" s="128">
        <v>1.3414095278718787</v>
      </c>
      <c r="R67" s="166">
        <v>457</v>
      </c>
      <c r="S67" s="76">
        <f t="shared" ref="S67:S98" si="10">+$W$19+F67*$W$20+G67*$W$21+H67*$W$22+I67*$W$23+J67*$W$24+K67*$W$25+L67*$W$26+M67*$W$27</f>
        <v>42382045.824740216</v>
      </c>
      <c r="T67" s="74">
        <f t="shared" si="3"/>
        <v>-1.8510336763224087E-2</v>
      </c>
      <c r="AO67" s="137"/>
      <c r="AP67" s="134"/>
      <c r="AQ67" s="137"/>
      <c r="AR67" s="137"/>
      <c r="AS67" s="137"/>
      <c r="AT67" s="32"/>
    </row>
    <row r="68" spans="1:46" x14ac:dyDescent="0.25">
      <c r="A68" s="75">
        <v>42156</v>
      </c>
      <c r="B68" s="142">
        <f t="shared" ref="B68:B131" si="11">YEAR(A68)</f>
        <v>2015</v>
      </c>
      <c r="C68" s="137">
        <f>'Power Purchases'!C152</f>
        <v>42250830.769230776</v>
      </c>
      <c r="D68" s="137">
        <f>'Power Purchases'!D152</f>
        <v>402428.42973151943</v>
      </c>
      <c r="E68" s="237">
        <f t="shared" ref="E68:E122" si="12">C68+D68+M68</f>
        <v>44111048.063709505</v>
      </c>
      <c r="F68" s="212">
        <f>[2]en_climate_daily_ON_6158731_201!$Q$183</f>
        <v>33.800000000000004</v>
      </c>
      <c r="G68" s="212">
        <f>[2]en_climate_daily_ON_6158731_201!$S$183</f>
        <v>32.299999999999997</v>
      </c>
      <c r="H68" s="137">
        <v>30</v>
      </c>
      <c r="I68" s="137">
        <v>0</v>
      </c>
      <c r="J68" s="137">
        <v>352</v>
      </c>
      <c r="K68" s="137">
        <v>0</v>
      </c>
      <c r="L68" s="137">
        <v>1</v>
      </c>
      <c r="M68" s="137">
        <f>CDM!B139</f>
        <v>1457788.8647472085</v>
      </c>
      <c r="N68" s="166">
        <f t="shared" si="9"/>
        <v>26584.795000000009</v>
      </c>
      <c r="O68" s="166">
        <v>62842.558957654706</v>
      </c>
      <c r="P68" s="129">
        <v>61.935854545454539</v>
      </c>
      <c r="Q68" s="128">
        <v>1.3441726118701018</v>
      </c>
      <c r="R68" s="166">
        <v>462</v>
      </c>
      <c r="S68" s="76">
        <f t="shared" si="10"/>
        <v>43047308.856843121</v>
      </c>
      <c r="T68" s="74">
        <f t="shared" ref="T68:T122" si="13">+(S68-E68)/E68</f>
        <v>-2.4115029081377231E-2</v>
      </c>
      <c r="AO68" s="137"/>
      <c r="AP68" s="134"/>
      <c r="AQ68" s="137"/>
      <c r="AR68" s="137"/>
      <c r="AS68" s="137"/>
      <c r="AT68" s="32"/>
    </row>
    <row r="69" spans="1:46" x14ac:dyDescent="0.25">
      <c r="A69" s="75">
        <v>42186</v>
      </c>
      <c r="B69" s="142">
        <f t="shared" si="11"/>
        <v>2015</v>
      </c>
      <c r="C69" s="137">
        <f>'Power Purchases'!C153</f>
        <v>48484707.692307696</v>
      </c>
      <c r="D69" s="137">
        <f>'Power Purchases'!D153</f>
        <v>431244.74203963188</v>
      </c>
      <c r="E69" s="237">
        <f t="shared" si="12"/>
        <v>50407455.736266784</v>
      </c>
      <c r="F69" s="212">
        <f>[2]en_climate_daily_ON_6158731_201!$Q$214</f>
        <v>4</v>
      </c>
      <c r="G69" s="212">
        <f>[2]en_climate_daily_ON_6158731_201!$S$214</f>
        <v>114.29999999999998</v>
      </c>
      <c r="H69" s="137">
        <v>31</v>
      </c>
      <c r="I69" s="137">
        <v>0</v>
      </c>
      <c r="J69" s="137">
        <v>352</v>
      </c>
      <c r="K69" s="137">
        <v>0</v>
      </c>
      <c r="L69" s="137">
        <v>1</v>
      </c>
      <c r="M69" s="137">
        <f>CDM!B140</f>
        <v>1491503.3019194568</v>
      </c>
      <c r="N69" s="166">
        <f t="shared" si="9"/>
        <v>26627.329166666677</v>
      </c>
      <c r="O69" s="166">
        <v>62933.857980456007</v>
      </c>
      <c r="P69" s="129">
        <v>62.025163636363629</v>
      </c>
      <c r="Q69" s="128">
        <v>1.3469413873689611</v>
      </c>
      <c r="R69" s="166">
        <v>467</v>
      </c>
      <c r="S69" s="76">
        <f t="shared" si="10"/>
        <v>49452278.065802731</v>
      </c>
      <c r="T69" s="74">
        <f t="shared" si="13"/>
        <v>-1.8949134736368563E-2</v>
      </c>
      <c r="AO69" s="137"/>
      <c r="AP69" s="134"/>
      <c r="AQ69" s="137"/>
      <c r="AR69" s="137"/>
      <c r="AS69" s="137"/>
      <c r="AT69" s="32"/>
    </row>
    <row r="70" spans="1:46" x14ac:dyDescent="0.25">
      <c r="A70" s="75">
        <v>42217</v>
      </c>
      <c r="B70" s="142">
        <f t="shared" si="11"/>
        <v>2015</v>
      </c>
      <c r="C70" s="137">
        <f>'Power Purchases'!C154</f>
        <v>45724546.15384616</v>
      </c>
      <c r="D70" s="137">
        <f>'Power Purchases'!D154</f>
        <v>423198.3949868512</v>
      </c>
      <c r="E70" s="237">
        <f t="shared" si="12"/>
        <v>47672962.287924714</v>
      </c>
      <c r="F70" s="212">
        <f>[2]en_climate_daily_ON_6158731_201!$Q$245</f>
        <v>4.4000000000000004</v>
      </c>
      <c r="G70" s="212">
        <f>[2]en_climate_daily_ON_6158731_201!$S$245</f>
        <v>88.6</v>
      </c>
      <c r="H70" s="137">
        <v>31</v>
      </c>
      <c r="I70" s="137">
        <v>0</v>
      </c>
      <c r="J70" s="137">
        <v>320</v>
      </c>
      <c r="K70" s="137">
        <v>0</v>
      </c>
      <c r="L70" s="137">
        <v>1</v>
      </c>
      <c r="M70" s="137">
        <f>CDM!B141</f>
        <v>1525217.7390917051</v>
      </c>
      <c r="N70" s="166">
        <f t="shared" si="9"/>
        <v>26669.863333333346</v>
      </c>
      <c r="O70" s="166">
        <v>63025.157003257307</v>
      </c>
      <c r="P70" s="129">
        <v>62.11447272727272</v>
      </c>
      <c r="Q70" s="128">
        <v>1.3497158660920161</v>
      </c>
      <c r="R70" s="166">
        <v>432</v>
      </c>
      <c r="S70" s="76">
        <f t="shared" si="10"/>
        <v>47105362.590020016</v>
      </c>
      <c r="T70" s="74">
        <f t="shared" si="13"/>
        <v>-1.1906113458539334E-2</v>
      </c>
      <c r="AO70" s="137"/>
      <c r="AP70" s="134"/>
      <c r="AQ70" s="137"/>
      <c r="AR70" s="137"/>
      <c r="AS70" s="137"/>
      <c r="AT70" s="32"/>
    </row>
    <row r="71" spans="1:46" x14ac:dyDescent="0.25">
      <c r="A71" s="75">
        <v>42248</v>
      </c>
      <c r="B71" s="142">
        <f t="shared" si="11"/>
        <v>2015</v>
      </c>
      <c r="C71" s="137">
        <f>'Power Purchases'!C155</f>
        <v>44512200</v>
      </c>
      <c r="D71" s="137">
        <f>'Power Purchases'!D155</f>
        <v>402469.8154579635</v>
      </c>
      <c r="E71" s="237">
        <f t="shared" si="12"/>
        <v>46473601.991721913</v>
      </c>
      <c r="F71" s="212">
        <f>[2]en_climate_daily_ON_6158731_201!$Q$275</f>
        <v>31.099999999999994</v>
      </c>
      <c r="G71" s="212">
        <f>[2]en_climate_daily_ON_6158731_201!$S$275</f>
        <v>81.900000000000006</v>
      </c>
      <c r="H71" s="137">
        <v>30</v>
      </c>
      <c r="I71" s="137">
        <v>0</v>
      </c>
      <c r="J71" s="137">
        <v>336</v>
      </c>
      <c r="K71" s="137">
        <v>1</v>
      </c>
      <c r="L71" s="137">
        <v>1</v>
      </c>
      <c r="M71" s="137">
        <f>CDM!B142</f>
        <v>1558932.1762639533</v>
      </c>
      <c r="N71" s="166">
        <f t="shared" si="9"/>
        <v>26712.397500000014</v>
      </c>
      <c r="O71" s="166">
        <v>63116.456026058608</v>
      </c>
      <c r="P71" s="129">
        <v>62.20378181818181</v>
      </c>
      <c r="Q71" s="128">
        <v>1.3524960597869746</v>
      </c>
      <c r="R71" s="166">
        <v>374</v>
      </c>
      <c r="S71" s="76">
        <f t="shared" si="10"/>
        <v>45538172.949082464</v>
      </c>
      <c r="T71" s="74">
        <f t="shared" si="13"/>
        <v>-2.0128180355077106E-2</v>
      </c>
      <c r="AO71" s="137"/>
      <c r="AP71" s="134"/>
      <c r="AQ71" s="137"/>
      <c r="AR71" s="137"/>
      <c r="AS71" s="137"/>
      <c r="AT71" s="32"/>
    </row>
    <row r="72" spans="1:46" x14ac:dyDescent="0.25">
      <c r="A72" s="75">
        <v>42278</v>
      </c>
      <c r="B72" s="142">
        <f t="shared" si="11"/>
        <v>2015</v>
      </c>
      <c r="C72" s="137">
        <f>'Power Purchases'!C156</f>
        <v>40212553.846153848</v>
      </c>
      <c r="D72" s="137">
        <f>'Power Purchases'!D156</f>
        <v>356482.57250341837</v>
      </c>
      <c r="E72" s="237">
        <f t="shared" si="12"/>
        <v>42161683.032093465</v>
      </c>
      <c r="F72" s="212">
        <f>[2]en_climate_daily_ON_6158731_201!$Q$306</f>
        <v>249.8</v>
      </c>
      <c r="G72" s="212">
        <f>[2]en_climate_daily_ON_6158731_201!$S$306</f>
        <v>0</v>
      </c>
      <c r="H72" s="137">
        <v>31</v>
      </c>
      <c r="I72" s="137">
        <v>0</v>
      </c>
      <c r="J72" s="137">
        <v>336</v>
      </c>
      <c r="K72" s="137">
        <v>1</v>
      </c>
      <c r="L72" s="137">
        <v>1</v>
      </c>
      <c r="M72" s="137">
        <f>CDM!B143</f>
        <v>1592646.6134362016</v>
      </c>
      <c r="N72" s="166">
        <f t="shared" si="9"/>
        <v>26754.931666666682</v>
      </c>
      <c r="O72" s="166">
        <v>63207.755048859908</v>
      </c>
      <c r="P72" s="129">
        <v>62.2930909090909</v>
      </c>
      <c r="Q72" s="128">
        <v>1.3552819802257432</v>
      </c>
      <c r="R72" s="166">
        <v>340</v>
      </c>
      <c r="S72" s="76">
        <f t="shared" si="10"/>
        <v>43009779.63514182</v>
      </c>
      <c r="T72" s="74">
        <f t="shared" si="13"/>
        <v>2.0115340329340824E-2</v>
      </c>
      <c r="AO72" s="137"/>
      <c r="AP72" s="134"/>
      <c r="AQ72" s="137"/>
      <c r="AR72" s="137"/>
      <c r="AS72" s="137"/>
      <c r="AT72" s="32"/>
    </row>
    <row r="73" spans="1:46" x14ac:dyDescent="0.25">
      <c r="A73" s="75">
        <v>42309</v>
      </c>
      <c r="B73" s="142">
        <f t="shared" si="11"/>
        <v>2015</v>
      </c>
      <c r="C73" s="137">
        <f>'Power Purchases'!C157</f>
        <v>40228438.461538464</v>
      </c>
      <c r="D73" s="137">
        <f>'Power Purchases'!D157</f>
        <v>310868.38150276762</v>
      </c>
      <c r="E73" s="237">
        <f t="shared" si="12"/>
        <v>42165667.893649682</v>
      </c>
      <c r="F73" s="212">
        <f>[2]en_climate_daily_ON_6158731_201!$Q$336</f>
        <v>345</v>
      </c>
      <c r="G73" s="212">
        <f>[2]en_climate_daily_ON_6158731_201!$S$336</f>
        <v>0</v>
      </c>
      <c r="H73" s="137">
        <v>30</v>
      </c>
      <c r="I73" s="137">
        <v>0</v>
      </c>
      <c r="J73" s="137">
        <v>336</v>
      </c>
      <c r="K73" s="137">
        <v>1</v>
      </c>
      <c r="L73" s="137">
        <v>1</v>
      </c>
      <c r="M73" s="137">
        <f>CDM!B144</f>
        <v>1626361.0506084498</v>
      </c>
      <c r="N73" s="166">
        <f t="shared" si="9"/>
        <v>26797.46583333335</v>
      </c>
      <c r="O73" s="166">
        <v>63299.054071661209</v>
      </c>
      <c r="P73" s="129">
        <v>62.38239999999999</v>
      </c>
      <c r="Q73" s="128">
        <v>1.3580736392044765</v>
      </c>
      <c r="R73" s="166">
        <v>290</v>
      </c>
      <c r="S73" s="76">
        <f t="shared" si="10"/>
        <v>42982072.045307204</v>
      </c>
      <c r="T73" s="74">
        <f t="shared" si="13"/>
        <v>1.9361821890658951E-2</v>
      </c>
      <c r="AO73" s="137"/>
      <c r="AP73" s="134"/>
      <c r="AQ73" s="137"/>
      <c r="AR73" s="137"/>
      <c r="AS73" s="137"/>
      <c r="AT73" s="32"/>
    </row>
    <row r="74" spans="1:46" x14ac:dyDescent="0.25">
      <c r="A74" s="75">
        <v>42339</v>
      </c>
      <c r="B74" s="142">
        <f t="shared" si="11"/>
        <v>2015</v>
      </c>
      <c r="C74" s="137">
        <f>'Power Purchases'!C158</f>
        <v>42116161.538461544</v>
      </c>
      <c r="D74" s="137">
        <f>'Power Purchases'!D158</f>
        <v>343804.16455349658</v>
      </c>
      <c r="E74" s="237">
        <f t="shared" si="12"/>
        <v>44120041.190795735</v>
      </c>
      <c r="F74" s="212">
        <f>[2]en_climate_daily_ON_6158731_201!$Q$367</f>
        <v>429.70000000000005</v>
      </c>
      <c r="G74" s="212">
        <f>[2]en_climate_daily_ON_6158731_201!$S$367</f>
        <v>0</v>
      </c>
      <c r="H74" s="137">
        <v>31</v>
      </c>
      <c r="I74" s="137">
        <v>0</v>
      </c>
      <c r="J74" s="137">
        <v>336</v>
      </c>
      <c r="K74" s="137">
        <v>0</v>
      </c>
      <c r="L74" s="137">
        <v>1</v>
      </c>
      <c r="M74" s="137">
        <f>CDM!B145</f>
        <v>1660075.4877806981</v>
      </c>
      <c r="N74" s="166">
        <f>+'Rate Class Customer Model'!I8</f>
        <v>26840</v>
      </c>
      <c r="O74" s="166">
        <v>63390.353094462538</v>
      </c>
      <c r="P74" s="129">
        <v>62.382399999999997</v>
      </c>
      <c r="Q74" s="128">
        <v>1.3608710485436271</v>
      </c>
      <c r="R74" s="166">
        <v>269</v>
      </c>
      <c r="S74" s="76">
        <f t="shared" si="10"/>
        <v>45481314.352601066</v>
      </c>
      <c r="T74" s="74">
        <f t="shared" si="13"/>
        <v>3.0853850655273612E-2</v>
      </c>
      <c r="U74" s="24"/>
      <c r="AO74" s="137"/>
      <c r="AP74" s="134"/>
      <c r="AQ74" s="137"/>
      <c r="AR74" s="137"/>
      <c r="AS74" s="137"/>
      <c r="AT74" s="32"/>
    </row>
    <row r="75" spans="1:46" x14ac:dyDescent="0.25">
      <c r="A75" s="75">
        <v>42370</v>
      </c>
      <c r="B75" s="142">
        <f t="shared" si="11"/>
        <v>2016</v>
      </c>
      <c r="C75" s="137">
        <f>'Power Purchases'!C159</f>
        <v>45315053.846153848</v>
      </c>
      <c r="D75" s="137">
        <f>'Power Purchases'!D159</f>
        <v>337749.23526122357</v>
      </c>
      <c r="E75" s="237">
        <f t="shared" si="12"/>
        <v>47356614.154408999</v>
      </c>
      <c r="F75" s="212">
        <f>[3]en_climate_daily_ON_6158731_201!$Q$32</f>
        <v>670.4</v>
      </c>
      <c r="G75" s="212">
        <f>[3]en_climate_daily_ON_6158731_201!$S$32</f>
        <v>0</v>
      </c>
      <c r="H75" s="137">
        <v>31</v>
      </c>
      <c r="I75" s="137">
        <v>0</v>
      </c>
      <c r="J75" s="137">
        <v>336</v>
      </c>
      <c r="K75" s="137">
        <v>0</v>
      </c>
      <c r="L75" s="137">
        <v>1</v>
      </c>
      <c r="M75" s="137">
        <f>CDM!B146</f>
        <v>1703811.0729939239</v>
      </c>
      <c r="N75" s="166">
        <f>+(N86-N74)/12+N74</f>
        <v>26862.5</v>
      </c>
      <c r="O75" s="166">
        <v>63481.652117263839</v>
      </c>
      <c r="P75" s="129">
        <v>62.467466909090909</v>
      </c>
      <c r="Q75" s="128">
        <v>1.3636742200879963</v>
      </c>
      <c r="R75" s="166">
        <v>290</v>
      </c>
      <c r="S75" s="76">
        <f t="shared" si="10"/>
        <v>47901758.512278259</v>
      </c>
      <c r="T75" s="74">
        <f t="shared" si="13"/>
        <v>1.151147242266487E-2</v>
      </c>
      <c r="AO75" s="137"/>
      <c r="AP75" s="134"/>
      <c r="AQ75" s="137"/>
      <c r="AR75" s="137"/>
      <c r="AS75" s="137"/>
      <c r="AT75" s="32"/>
    </row>
    <row r="76" spans="1:46" x14ac:dyDescent="0.25">
      <c r="A76" s="75">
        <v>42401</v>
      </c>
      <c r="B76" s="142">
        <f t="shared" si="11"/>
        <v>2016</v>
      </c>
      <c r="C76" s="137">
        <f>'Power Purchases'!C160</f>
        <v>41541076.923076928</v>
      </c>
      <c r="D76" s="137">
        <f>'Power Purchases'!D160</f>
        <v>320958.24468009436</v>
      </c>
      <c r="E76" s="237">
        <f t="shared" si="12"/>
        <v>43609581.825964168</v>
      </c>
      <c r="F76" s="212">
        <f>[3]en_climate_daily_ON_6158731_201!$Q$61</f>
        <v>588.4</v>
      </c>
      <c r="G76" s="212">
        <f>[3]en_climate_daily_ON_6158731_201!$S$61</f>
        <v>0</v>
      </c>
      <c r="H76" s="137">
        <v>29</v>
      </c>
      <c r="I76" s="137">
        <v>0</v>
      </c>
      <c r="J76" s="137">
        <v>320</v>
      </c>
      <c r="K76" s="137">
        <v>0</v>
      </c>
      <c r="L76" s="137">
        <v>1</v>
      </c>
      <c r="M76" s="137">
        <f>CDM!B147</f>
        <v>1747546.6582071497</v>
      </c>
      <c r="N76" s="166">
        <f>+(N86-N74)/12+N75</f>
        <v>26885</v>
      </c>
      <c r="O76" s="166">
        <v>63572.951140065139</v>
      </c>
      <c r="P76" s="129">
        <v>62.552533818181821</v>
      </c>
      <c r="Q76" s="128">
        <v>1.3664831657067829</v>
      </c>
      <c r="R76" s="166">
        <v>305</v>
      </c>
      <c r="S76" s="76">
        <f t="shared" si="10"/>
        <v>44827964.219267935</v>
      </c>
      <c r="T76" s="74">
        <f t="shared" si="13"/>
        <v>2.7938410374262503E-2</v>
      </c>
      <c r="AO76" s="137"/>
      <c r="AP76" s="134"/>
      <c r="AQ76" s="137"/>
      <c r="AR76" s="137"/>
      <c r="AS76" s="137"/>
      <c r="AT76" s="32"/>
    </row>
    <row r="77" spans="1:46" x14ac:dyDescent="0.25">
      <c r="A77" s="75">
        <v>42430</v>
      </c>
      <c r="B77" s="142">
        <f t="shared" si="11"/>
        <v>2016</v>
      </c>
      <c r="C77" s="137">
        <f>'Power Purchases'!C161</f>
        <v>41395176.923076928</v>
      </c>
      <c r="D77" s="137">
        <f>'Power Purchases'!D161</f>
        <v>327852.67503373791</v>
      </c>
      <c r="E77" s="237">
        <f t="shared" si="12"/>
        <v>43514311.841531046</v>
      </c>
      <c r="F77" s="212">
        <f>[3]en_climate_daily_ON_6158731_201!$Q$92</f>
        <v>476.0999999999998</v>
      </c>
      <c r="G77" s="212">
        <f>[3]en_climate_daily_ON_6158731_201!$S$92</f>
        <v>0</v>
      </c>
      <c r="H77" s="137">
        <v>31</v>
      </c>
      <c r="I77" s="137">
        <v>1</v>
      </c>
      <c r="J77" s="137">
        <v>352</v>
      </c>
      <c r="K77" s="137">
        <v>0</v>
      </c>
      <c r="L77" s="137">
        <v>1</v>
      </c>
      <c r="M77" s="137">
        <f>CDM!B148</f>
        <v>1791282.2434203755</v>
      </c>
      <c r="N77" s="166">
        <f>+(N86-N74)/12+N76</f>
        <v>26907.5</v>
      </c>
      <c r="O77" s="166">
        <v>63664.250162866439</v>
      </c>
      <c r="P77" s="129">
        <v>62.637600727272734</v>
      </c>
      <c r="Q77" s="128">
        <v>1.3692978972936354</v>
      </c>
      <c r="R77" s="166">
        <v>371</v>
      </c>
      <c r="S77" s="76">
        <f t="shared" si="10"/>
        <v>44451458.832686275</v>
      </c>
      <c r="T77" s="74">
        <f t="shared" si="13"/>
        <v>2.1536523306816845E-2</v>
      </c>
      <c r="AO77" s="137"/>
      <c r="AP77" s="134"/>
      <c r="AQ77" s="137"/>
      <c r="AR77" s="137"/>
      <c r="AS77" s="137"/>
      <c r="AT77" s="32"/>
    </row>
    <row r="78" spans="1:46" x14ac:dyDescent="0.25">
      <c r="A78" s="75">
        <v>42461</v>
      </c>
      <c r="B78" s="142">
        <f t="shared" si="11"/>
        <v>2016</v>
      </c>
      <c r="C78" s="137">
        <f>'Power Purchases'!C162</f>
        <v>39414946.15384616</v>
      </c>
      <c r="D78" s="137">
        <f>'Power Purchases'!D162</f>
        <v>330631.5781521984</v>
      </c>
      <c r="E78" s="237">
        <f t="shared" si="12"/>
        <v>41580595.560631961</v>
      </c>
      <c r="F78" s="212">
        <f>[3]en_climate_daily_ON_6158731_201!$Q$122</f>
        <v>394.8</v>
      </c>
      <c r="G78" s="212">
        <f>[3]en_climate_daily_ON_6158731_201!$S$122</f>
        <v>0</v>
      </c>
      <c r="H78" s="137">
        <v>30</v>
      </c>
      <c r="I78" s="137">
        <v>1</v>
      </c>
      <c r="J78" s="137">
        <v>336</v>
      </c>
      <c r="K78" s="137">
        <v>0</v>
      </c>
      <c r="L78" s="137">
        <v>1</v>
      </c>
      <c r="M78" s="137">
        <f>CDM!B149</f>
        <v>1835017.8286336013</v>
      </c>
      <c r="N78" s="166">
        <f>+(N86-N74)/12+N77</f>
        <v>26930</v>
      </c>
      <c r="O78" s="166">
        <v>63755.54918566774</v>
      </c>
      <c r="P78" s="129">
        <v>62.722667636363646</v>
      </c>
      <c r="Q78" s="128">
        <v>1.3721184267667004</v>
      </c>
      <c r="R78" s="166">
        <v>405</v>
      </c>
      <c r="S78" s="76">
        <f t="shared" si="10"/>
        <v>42369728.568700604</v>
      </c>
      <c r="T78" s="74">
        <f t="shared" si="13"/>
        <v>1.8978395990455359E-2</v>
      </c>
      <c r="U78" s="46"/>
      <c r="AO78" s="137"/>
      <c r="AP78" s="134"/>
      <c r="AQ78" s="137"/>
      <c r="AR78" s="137"/>
      <c r="AS78" s="137"/>
      <c r="AT78" s="32"/>
    </row>
    <row r="79" spans="1:46" x14ac:dyDescent="0.25">
      <c r="A79" s="75">
        <v>42491</v>
      </c>
      <c r="B79" s="142">
        <f t="shared" si="11"/>
        <v>2016</v>
      </c>
      <c r="C79" s="137">
        <f>'Power Purchases'!C163</f>
        <v>40694476.923076928</v>
      </c>
      <c r="D79" s="137">
        <f>'Power Purchases'!D163</f>
        <v>372769.66235455958</v>
      </c>
      <c r="E79" s="237">
        <f t="shared" si="12"/>
        <v>42945999.999278314</v>
      </c>
      <c r="F79" s="212">
        <f>[3]en_climate_daily_ON_6158731_201!$Q$153</f>
        <v>142.50000000000003</v>
      </c>
      <c r="G79" s="212">
        <f>[3]en_climate_daily_ON_6158731_201!$S$153</f>
        <v>36.9</v>
      </c>
      <c r="H79" s="137">
        <v>31</v>
      </c>
      <c r="I79" s="137">
        <v>1</v>
      </c>
      <c r="J79" s="137">
        <v>320</v>
      </c>
      <c r="K79" s="137">
        <v>0</v>
      </c>
      <c r="L79" s="137">
        <v>1</v>
      </c>
      <c r="M79" s="137">
        <f>CDM!B150</f>
        <v>1878753.4138468271</v>
      </c>
      <c r="N79" s="166">
        <f>+(N86-N74)/12+N78</f>
        <v>26952.5</v>
      </c>
      <c r="O79" s="166">
        <v>63846.84820846904</v>
      </c>
      <c r="P79" s="129">
        <v>62.807734545454558</v>
      </c>
      <c r="Q79" s="128">
        <v>1.3749447660686738</v>
      </c>
      <c r="R79" s="166">
        <v>457</v>
      </c>
      <c r="S79" s="76">
        <f t="shared" si="10"/>
        <v>43112320.99312517</v>
      </c>
      <c r="T79" s="74">
        <f t="shared" si="13"/>
        <v>3.8727935977658223E-3</v>
      </c>
      <c r="AO79" s="137"/>
      <c r="AP79" s="134"/>
      <c r="AQ79" s="137"/>
      <c r="AR79" s="137"/>
      <c r="AS79" s="137"/>
      <c r="AT79" s="32"/>
    </row>
    <row r="80" spans="1:46" x14ac:dyDescent="0.25">
      <c r="A80" s="75">
        <v>42522</v>
      </c>
      <c r="B80" s="142">
        <f t="shared" si="11"/>
        <v>2016</v>
      </c>
      <c r="C80" s="137">
        <f>'Power Purchases'!C164</f>
        <v>44076992.307692304</v>
      </c>
      <c r="D80" s="137">
        <f>'Power Purchases'!D164</f>
        <v>387102.77731828851</v>
      </c>
      <c r="E80" s="237">
        <f t="shared" si="12"/>
        <v>46386584.084070645</v>
      </c>
      <c r="F80" s="212">
        <f>[3]en_climate_daily_ON_6158731_201!$Q$183</f>
        <v>24.200000000000003</v>
      </c>
      <c r="G80" s="212">
        <f>[3]en_climate_daily_ON_6158731_201!$S$183</f>
        <v>83.7</v>
      </c>
      <c r="H80" s="137">
        <v>30</v>
      </c>
      <c r="I80" s="137">
        <v>0</v>
      </c>
      <c r="J80" s="137">
        <v>352</v>
      </c>
      <c r="K80" s="137">
        <v>0</v>
      </c>
      <c r="L80" s="137">
        <v>1</v>
      </c>
      <c r="M80" s="137">
        <f>CDM!B151</f>
        <v>1922488.9990600529</v>
      </c>
      <c r="N80" s="166">
        <f>+(N86-N74)/12+N79</f>
        <v>26975</v>
      </c>
      <c r="O80" s="166">
        <v>63938.147231270341</v>
      </c>
      <c r="P80" s="129">
        <v>62.89280145454547</v>
      </c>
      <c r="Q80" s="128">
        <v>1.3777769271668525</v>
      </c>
      <c r="R80" s="166">
        <v>462</v>
      </c>
      <c r="S80" s="76">
        <f t="shared" si="10"/>
        <v>46535990.815696858</v>
      </c>
      <c r="T80" s="74">
        <f t="shared" si="13"/>
        <v>3.2209039440246156E-3</v>
      </c>
      <c r="AO80" s="137"/>
      <c r="AP80" s="134"/>
      <c r="AQ80" s="137"/>
      <c r="AR80" s="137"/>
      <c r="AS80" s="137"/>
      <c r="AT80" s="32"/>
    </row>
    <row r="81" spans="1:46" x14ac:dyDescent="0.25">
      <c r="A81" s="75">
        <v>42552</v>
      </c>
      <c r="B81" s="142">
        <f t="shared" si="11"/>
        <v>2016</v>
      </c>
      <c r="C81" s="137">
        <f>'Power Purchases'!C165</f>
        <v>50187092.307692312</v>
      </c>
      <c r="D81" s="137">
        <f>'Power Purchases'!D165</f>
        <v>423836.34677714237</v>
      </c>
      <c r="E81" s="237">
        <f t="shared" si="12"/>
        <v>52577153.238742732</v>
      </c>
      <c r="F81" s="212">
        <f>[3]en_climate_daily_ON_6158731_201!$Q$214</f>
        <v>0</v>
      </c>
      <c r="G81" s="212">
        <f>[3]en_climate_daily_ON_6158731_201!$S$214</f>
        <v>176.89999999999998</v>
      </c>
      <c r="H81" s="137">
        <v>31</v>
      </c>
      <c r="I81" s="137">
        <v>0</v>
      </c>
      <c r="J81" s="137">
        <v>352</v>
      </c>
      <c r="K81" s="137">
        <v>0</v>
      </c>
      <c r="L81" s="137">
        <v>1</v>
      </c>
      <c r="M81" s="137">
        <f>CDM!B152</f>
        <v>1966224.5842732787</v>
      </c>
      <c r="N81" s="166">
        <f>+(N86-N74)/12+N80</f>
        <v>26997.5</v>
      </c>
      <c r="O81" s="166">
        <v>64029.446254071641</v>
      </c>
      <c r="P81" s="129">
        <v>62.977868363636382</v>
      </c>
      <c r="Q81" s="128">
        <v>1.3806149220531836</v>
      </c>
      <c r="R81" s="166">
        <v>467</v>
      </c>
      <c r="S81" s="76">
        <f t="shared" si="10"/>
        <v>53778487.661698081</v>
      </c>
      <c r="T81" s="74">
        <f t="shared" si="13"/>
        <v>2.2848981904750924E-2</v>
      </c>
      <c r="AO81" s="137"/>
      <c r="AP81" s="134"/>
      <c r="AQ81" s="137"/>
      <c r="AR81" s="137"/>
      <c r="AS81" s="137"/>
      <c r="AT81" s="32"/>
    </row>
    <row r="82" spans="1:46" x14ac:dyDescent="0.25">
      <c r="A82" s="75">
        <v>42583</v>
      </c>
      <c r="B82" s="142">
        <f t="shared" si="11"/>
        <v>2016</v>
      </c>
      <c r="C82" s="137">
        <f>'Power Purchases'!C166</f>
        <v>52272200</v>
      </c>
      <c r="D82" s="137">
        <f>'Power Purchases'!D166</f>
        <v>434756.92175367515</v>
      </c>
      <c r="E82" s="237">
        <f t="shared" si="12"/>
        <v>54716917.091240183</v>
      </c>
      <c r="F82" s="212">
        <f>[3]en_climate_daily_ON_6158731_201!$Q$245</f>
        <v>0</v>
      </c>
      <c r="G82" s="212">
        <f>[3]en_climate_daily_ON_6158731_201!$S$245</f>
        <v>195.4</v>
      </c>
      <c r="H82" s="137">
        <v>31</v>
      </c>
      <c r="I82" s="137">
        <v>0</v>
      </c>
      <c r="J82" s="137">
        <v>320</v>
      </c>
      <c r="K82" s="137">
        <v>0</v>
      </c>
      <c r="L82" s="137">
        <v>1</v>
      </c>
      <c r="M82" s="137">
        <f>CDM!B153</f>
        <v>2009960.1694865045</v>
      </c>
      <c r="N82" s="166">
        <f>+(N86-N74)/12+N81</f>
        <v>27020</v>
      </c>
      <c r="O82" s="166">
        <v>64120.745276872942</v>
      </c>
      <c r="P82" s="129">
        <v>63.062935272727294</v>
      </c>
      <c r="Q82" s="128">
        <v>1.3834587627443147</v>
      </c>
      <c r="R82" s="166">
        <v>432</v>
      </c>
      <c r="S82" s="76">
        <f t="shared" si="10"/>
        <v>54510558.457574293</v>
      </c>
      <c r="T82" s="74">
        <f t="shared" si="13"/>
        <v>-3.7713863396541059E-3</v>
      </c>
      <c r="AO82" s="137"/>
      <c r="AP82" s="134"/>
      <c r="AQ82" s="137"/>
      <c r="AR82" s="137"/>
      <c r="AS82" s="137"/>
      <c r="AT82" s="32"/>
    </row>
    <row r="83" spans="1:46" x14ac:dyDescent="0.25">
      <c r="A83" s="75">
        <v>42614</v>
      </c>
      <c r="B83" s="142">
        <f t="shared" si="11"/>
        <v>2016</v>
      </c>
      <c r="C83" s="137">
        <f>'Power Purchases'!C167</f>
        <v>42823330.769230776</v>
      </c>
      <c r="D83" s="137">
        <f>'Power Purchases'!D167</f>
        <v>383992.91413692007</v>
      </c>
      <c r="E83" s="237">
        <f t="shared" si="12"/>
        <v>45261019.438067421</v>
      </c>
      <c r="F83" s="212">
        <f>[3]en_climate_daily_ON_6158731_201!$Q$275</f>
        <v>25.900000000000006</v>
      </c>
      <c r="G83" s="212">
        <f>[3]en_climate_daily_ON_6158731_201!$S$275</f>
        <v>69.400000000000006</v>
      </c>
      <c r="H83" s="137">
        <v>30</v>
      </c>
      <c r="I83" s="137">
        <v>0</v>
      </c>
      <c r="J83" s="137">
        <v>336</v>
      </c>
      <c r="K83" s="137">
        <v>1</v>
      </c>
      <c r="L83" s="137">
        <v>1</v>
      </c>
      <c r="M83" s="137">
        <f>CDM!B154</f>
        <v>2053695.7546997303</v>
      </c>
      <c r="N83" s="166">
        <f>+(N86-N74)/12+N82</f>
        <v>27042.5</v>
      </c>
      <c r="O83" s="166">
        <v>64212.044299674242</v>
      </c>
      <c r="P83" s="129">
        <v>63.148002181818207</v>
      </c>
      <c r="Q83" s="128">
        <v>1.386308461281647</v>
      </c>
      <c r="R83" s="166">
        <v>374</v>
      </c>
      <c r="S83" s="76">
        <f t="shared" si="10"/>
        <v>44613990.929885782</v>
      </c>
      <c r="T83" s="74">
        <f t="shared" si="13"/>
        <v>-1.429549126852955E-2</v>
      </c>
      <c r="AO83" s="137"/>
      <c r="AP83" s="134"/>
      <c r="AQ83" s="137"/>
      <c r="AR83" s="137"/>
      <c r="AS83" s="137"/>
      <c r="AT83" s="32"/>
    </row>
    <row r="84" spans="1:46" x14ac:dyDescent="0.25">
      <c r="A84" s="75">
        <v>42644</v>
      </c>
      <c r="B84" s="142">
        <f t="shared" si="11"/>
        <v>2016</v>
      </c>
      <c r="C84" s="137">
        <f>'Power Purchases'!C168</f>
        <v>39617084.615384616</v>
      </c>
      <c r="D84" s="137">
        <f>'Power Purchases'!D168</f>
        <v>346291.23845012311</v>
      </c>
      <c r="E84" s="237">
        <f t="shared" si="12"/>
        <v>42060807.193747699</v>
      </c>
      <c r="F84" s="212">
        <f>[3]en_climate_daily_ON_6158731_201!$Q$306</f>
        <v>194.20000000000002</v>
      </c>
      <c r="G84" s="212">
        <f>[3]en_climate_daily_ON_6158731_201!$S$306</f>
        <v>4.0999999999999996</v>
      </c>
      <c r="H84" s="137">
        <v>31</v>
      </c>
      <c r="I84" s="137">
        <v>0</v>
      </c>
      <c r="J84" s="137">
        <v>336</v>
      </c>
      <c r="K84" s="137">
        <v>1</v>
      </c>
      <c r="L84" s="137">
        <v>1</v>
      </c>
      <c r="M84" s="137">
        <f>CDM!B155</f>
        <v>2097431.3399129561</v>
      </c>
      <c r="N84" s="166">
        <f>+(N86-N74)/12+N83</f>
        <v>27065</v>
      </c>
      <c r="O84" s="166">
        <v>64303.343322475543</v>
      </c>
      <c r="P84" s="129">
        <v>63.233069090909119</v>
      </c>
      <c r="Q84" s="128">
        <v>1.3891640297313848</v>
      </c>
      <c r="R84" s="166">
        <v>340</v>
      </c>
      <c r="S84" s="76">
        <f t="shared" si="10"/>
        <v>42736654.566201121</v>
      </c>
      <c r="T84" s="74">
        <f t="shared" si="13"/>
        <v>1.6068340518055616E-2</v>
      </c>
      <c r="AO84" s="137"/>
      <c r="AP84" s="134"/>
      <c r="AQ84" s="137"/>
      <c r="AR84" s="137"/>
      <c r="AS84" s="137"/>
      <c r="AT84" s="32"/>
    </row>
    <row r="85" spans="1:46" x14ac:dyDescent="0.25">
      <c r="A85" s="75">
        <v>42675</v>
      </c>
      <c r="B85" s="142">
        <f t="shared" si="11"/>
        <v>2016</v>
      </c>
      <c r="C85" s="137">
        <f>'Power Purchases'!C169</f>
        <v>39695584.615384616</v>
      </c>
      <c r="D85" s="137">
        <f>'Power Purchases'!D169</f>
        <v>324442.16124738124</v>
      </c>
      <c r="E85" s="237">
        <f t="shared" si="12"/>
        <v>42161193.701758176</v>
      </c>
      <c r="F85" s="212">
        <f>[3]en_climate_daily_ON_6158731_201!$Q$336</f>
        <v>337.80000000000007</v>
      </c>
      <c r="G85" s="212">
        <f>[3]en_climate_daily_ON_6158731_201!$S$336</f>
        <v>0</v>
      </c>
      <c r="H85" s="137">
        <v>30</v>
      </c>
      <c r="I85" s="137">
        <v>0</v>
      </c>
      <c r="J85" s="137">
        <v>336</v>
      </c>
      <c r="K85" s="137">
        <v>1</v>
      </c>
      <c r="L85" s="137">
        <v>1</v>
      </c>
      <c r="M85" s="137">
        <f>CDM!B156</f>
        <v>2141166.9251261819</v>
      </c>
      <c r="N85" s="166">
        <f>+(N86-N74)/12+N84</f>
        <v>27087.5</v>
      </c>
      <c r="O85" s="166">
        <v>64394.642345276843</v>
      </c>
      <c r="P85" s="129">
        <v>63.318136000000031</v>
      </c>
      <c r="Q85" s="128">
        <v>1.3920254801845864</v>
      </c>
      <c r="R85" s="166">
        <v>290</v>
      </c>
      <c r="S85" s="76">
        <f t="shared" si="10"/>
        <v>42909669.893459782</v>
      </c>
      <c r="T85" s="74">
        <f t="shared" si="13"/>
        <v>1.7752727709661444E-2</v>
      </c>
      <c r="AO85" s="137"/>
      <c r="AP85" s="134"/>
      <c r="AQ85" s="137"/>
      <c r="AR85" s="137"/>
      <c r="AS85" s="137"/>
      <c r="AT85" s="32"/>
    </row>
    <row r="86" spans="1:46" x14ac:dyDescent="0.25">
      <c r="A86" s="75">
        <v>42705</v>
      </c>
      <c r="B86" s="142">
        <f t="shared" si="11"/>
        <v>2016</v>
      </c>
      <c r="C86" s="137">
        <f>'Power Purchases'!C170</f>
        <v>44259330.769230768</v>
      </c>
      <c r="D86" s="137">
        <f>'Power Purchases'!D170</f>
        <v>327599.3059297842</v>
      </c>
      <c r="E86" s="237">
        <f t="shared" si="12"/>
        <v>46771832.585499965</v>
      </c>
      <c r="F86" s="212">
        <f>[3]en_climate_daily_ON_6158731_201!$Q$367</f>
        <v>607.99999999999989</v>
      </c>
      <c r="G86" s="212">
        <f>[3]en_climate_daily_ON_6158731_201!$S$367</f>
        <v>0</v>
      </c>
      <c r="H86" s="137">
        <v>31</v>
      </c>
      <c r="I86" s="137">
        <v>0</v>
      </c>
      <c r="J86" s="137">
        <v>336</v>
      </c>
      <c r="K86" s="137">
        <v>0</v>
      </c>
      <c r="L86" s="137">
        <v>1</v>
      </c>
      <c r="M86" s="137">
        <f>CDM!B157</f>
        <v>2184902.5103394077</v>
      </c>
      <c r="N86" s="166">
        <f>'Rate Class Customer Model'!I9</f>
        <v>27110</v>
      </c>
      <c r="O86" s="166">
        <v>64485.941368078173</v>
      </c>
      <c r="P86" s="129">
        <v>63.318135999999996</v>
      </c>
      <c r="Q86" s="128">
        <v>1.3948928247572157</v>
      </c>
      <c r="R86" s="166">
        <v>269</v>
      </c>
      <c r="S86" s="76">
        <f t="shared" si="10"/>
        <v>47274273.196267217</v>
      </c>
      <c r="T86" s="74">
        <f t="shared" si="13"/>
        <v>1.074237597701095E-2</v>
      </c>
      <c r="AO86" s="137"/>
      <c r="AP86" s="134"/>
      <c r="AQ86" s="137"/>
      <c r="AR86" s="137"/>
      <c r="AS86" s="137"/>
      <c r="AT86" s="32"/>
    </row>
    <row r="87" spans="1:46" x14ac:dyDescent="0.25">
      <c r="A87" s="75">
        <v>42736</v>
      </c>
      <c r="B87" s="142">
        <f t="shared" si="11"/>
        <v>2017</v>
      </c>
      <c r="C87" s="137">
        <f>'Power Purchases'!C171</f>
        <v>43933204.761904761</v>
      </c>
      <c r="D87" s="137">
        <f>'Power Purchases'!D171</f>
        <v>319667.69800010102</v>
      </c>
      <c r="E87" s="237">
        <f t="shared" si="12"/>
        <v>46471975.725063853</v>
      </c>
      <c r="F87" s="212">
        <f>[4]en_climate_daily_ON_6158731_201!$Q$32</f>
        <v>608.9</v>
      </c>
      <c r="G87" s="212">
        <f>[4]en_climate_daily_ON_6158731_201!$S$32</f>
        <v>0</v>
      </c>
      <c r="H87" s="137">
        <v>31</v>
      </c>
      <c r="I87" s="137">
        <v>0</v>
      </c>
      <c r="J87" s="137">
        <v>336</v>
      </c>
      <c r="K87" s="137">
        <v>0</v>
      </c>
      <c r="L87" s="137">
        <v>1</v>
      </c>
      <c r="M87" s="137">
        <f>CDM!B158</f>
        <v>2219103.2651589862</v>
      </c>
      <c r="N87" s="166">
        <f>+(N98-N86)/12+N86</f>
        <v>27117</v>
      </c>
      <c r="Q87" s="6"/>
      <c r="S87" s="76">
        <f t="shared" si="10"/>
        <v>47283323.465248145</v>
      </c>
      <c r="T87" s="74">
        <f t="shared" si="13"/>
        <v>1.7458860475060584E-2</v>
      </c>
      <c r="AO87" s="137"/>
      <c r="AP87" s="134"/>
      <c r="AQ87" s="137"/>
      <c r="AR87" s="137"/>
      <c r="AS87" s="137"/>
      <c r="AT87" s="32"/>
    </row>
    <row r="88" spans="1:46" x14ac:dyDescent="0.25">
      <c r="A88" s="75">
        <v>42767</v>
      </c>
      <c r="B88" s="142">
        <f t="shared" si="11"/>
        <v>2017</v>
      </c>
      <c r="C88" s="137">
        <f>'Power Purchases'!C172</f>
        <v>38324828.571428575</v>
      </c>
      <c r="D88" s="137">
        <f>'Power Purchases'!D172</f>
        <v>289235.5943194257</v>
      </c>
      <c r="E88" s="237">
        <f t="shared" si="12"/>
        <v>40867368.185726568</v>
      </c>
      <c r="F88" s="212">
        <f>[4]en_climate_daily_ON_6158731_201!$Q$61</f>
        <v>510.4</v>
      </c>
      <c r="G88" s="212">
        <f>[4]en_climate_daily_ON_6158731_201!$S$61</f>
        <v>0</v>
      </c>
      <c r="H88" s="137">
        <v>28</v>
      </c>
      <c r="I88" s="137">
        <v>0</v>
      </c>
      <c r="J88" s="137">
        <v>304</v>
      </c>
      <c r="K88" s="137">
        <v>0</v>
      </c>
      <c r="L88" s="137">
        <v>1</v>
      </c>
      <c r="M88" s="137">
        <f>CDM!B159</f>
        <v>2253304.0199785647</v>
      </c>
      <c r="N88" s="166">
        <f>+(N98-N86)/12+N87</f>
        <v>27124</v>
      </c>
      <c r="S88" s="76">
        <f t="shared" si="10"/>
        <v>42779418.274878994</v>
      </c>
      <c r="T88" s="74">
        <f t="shared" si="13"/>
        <v>4.6786719430105914E-2</v>
      </c>
      <c r="AO88" s="137"/>
      <c r="AP88" s="134"/>
      <c r="AQ88" s="137"/>
      <c r="AR88" s="137"/>
      <c r="AS88" s="137"/>
      <c r="AT88" s="32"/>
    </row>
    <row r="89" spans="1:46" x14ac:dyDescent="0.25">
      <c r="A89" s="75">
        <v>42795</v>
      </c>
      <c r="B89" s="142">
        <f t="shared" si="11"/>
        <v>2017</v>
      </c>
      <c r="C89" s="137">
        <f>'Power Purchases'!C173</f>
        <v>42750761.90476191</v>
      </c>
      <c r="D89" s="137">
        <f>'Power Purchases'!D173</f>
        <v>325574.67085887905</v>
      </c>
      <c r="E89" s="237">
        <f t="shared" si="12"/>
        <v>45363841.350418933</v>
      </c>
      <c r="F89" s="212">
        <f>[4]en_climate_daily_ON_6158731_201!$Q$92</f>
        <v>574</v>
      </c>
      <c r="G89" s="212">
        <f>[4]en_climate_daily_ON_6158731_201!$S$92</f>
        <v>0</v>
      </c>
      <c r="H89" s="137">
        <v>31</v>
      </c>
      <c r="I89" s="137">
        <v>1</v>
      </c>
      <c r="J89" s="137">
        <v>368</v>
      </c>
      <c r="K89" s="137">
        <v>0</v>
      </c>
      <c r="L89" s="137">
        <v>1</v>
      </c>
      <c r="M89" s="137">
        <f>CDM!B160</f>
        <v>2287504.7747981432</v>
      </c>
      <c r="N89" s="166">
        <f>+(N98-N86)/12+N88</f>
        <v>27131</v>
      </c>
      <c r="S89" s="76">
        <f t="shared" si="10"/>
        <v>45715091.34916959</v>
      </c>
      <c r="T89" s="74">
        <f t="shared" si="13"/>
        <v>7.7429509559690992E-3</v>
      </c>
      <c r="AO89" s="137"/>
      <c r="AP89" s="134"/>
      <c r="AQ89" s="137"/>
      <c r="AR89" s="137"/>
      <c r="AS89" s="137"/>
      <c r="AT89" s="32"/>
    </row>
    <row r="90" spans="1:46" x14ac:dyDescent="0.25">
      <c r="A90" s="75">
        <v>42826</v>
      </c>
      <c r="B90" s="142">
        <f t="shared" si="11"/>
        <v>2017</v>
      </c>
      <c r="C90" s="137">
        <f>'Power Purchases'!C174</f>
        <v>36992119.047619052</v>
      </c>
      <c r="D90" s="137">
        <f>'Power Purchases'!D174</f>
        <v>323682.63946597523</v>
      </c>
      <c r="E90" s="237">
        <f t="shared" si="12"/>
        <v>39637507.216702744</v>
      </c>
      <c r="F90" s="212">
        <f>[4]en_climate_daily_ON_6158731_201!$Q$122</f>
        <v>257.49999999999994</v>
      </c>
      <c r="G90" s="212">
        <f>[4]en_climate_daily_ON_6158731_201!$S$122</f>
        <v>0</v>
      </c>
      <c r="H90" s="137">
        <v>30</v>
      </c>
      <c r="I90" s="137">
        <v>1</v>
      </c>
      <c r="J90" s="137">
        <v>304</v>
      </c>
      <c r="K90" s="137">
        <v>0</v>
      </c>
      <c r="L90" s="137">
        <v>1</v>
      </c>
      <c r="M90" s="137">
        <f>CDM!B161</f>
        <v>2321705.5296177217</v>
      </c>
      <c r="N90" s="166">
        <f>+(N98-N86)/12+N89</f>
        <v>27138</v>
      </c>
      <c r="S90" s="76">
        <f t="shared" si="10"/>
        <v>40430731.019494325</v>
      </c>
      <c r="T90" s="74">
        <f t="shared" si="13"/>
        <v>2.0011949753927161E-2</v>
      </c>
      <c r="AO90" s="137"/>
      <c r="AP90" s="134"/>
      <c r="AQ90" s="137"/>
      <c r="AR90" s="137"/>
      <c r="AS90" s="137"/>
      <c r="AT90" s="32"/>
    </row>
    <row r="91" spans="1:46" x14ac:dyDescent="0.25">
      <c r="A91" s="75">
        <v>42856</v>
      </c>
      <c r="B91" s="142">
        <f t="shared" si="11"/>
        <v>2017</v>
      </c>
      <c r="C91" s="137">
        <f>'Power Purchases'!C175</f>
        <v>37865342.857142858</v>
      </c>
      <c r="D91" s="137">
        <f>'Power Purchases'!D175</f>
        <v>349920.8929973187</v>
      </c>
      <c r="E91" s="237">
        <f t="shared" si="12"/>
        <v>40571170.034577474</v>
      </c>
      <c r="F91" s="212">
        <f>[4]en_climate_daily_ON_6158731_201!$Q$153</f>
        <v>177</v>
      </c>
      <c r="G91" s="212">
        <f>[4]en_climate_daily_ON_6158731_201!$S$153</f>
        <v>9</v>
      </c>
      <c r="H91" s="137">
        <v>31</v>
      </c>
      <c r="I91" s="137">
        <v>1</v>
      </c>
      <c r="J91" s="137">
        <v>352</v>
      </c>
      <c r="K91" s="137">
        <v>0</v>
      </c>
      <c r="L91" s="137">
        <v>1</v>
      </c>
      <c r="M91" s="137">
        <f>CDM!B162</f>
        <v>2355906.2844373002</v>
      </c>
      <c r="N91" s="166">
        <f>+(N98-N86)/12+N90</f>
        <v>27145</v>
      </c>
      <c r="S91" s="76">
        <f t="shared" si="10"/>
        <v>42071514.709552012</v>
      </c>
      <c r="T91" s="74">
        <f t="shared" si="13"/>
        <v>3.6980562150311265E-2</v>
      </c>
      <c r="AO91" s="137"/>
      <c r="AP91" s="134"/>
      <c r="AQ91" s="137"/>
      <c r="AR91" s="137"/>
      <c r="AS91" s="137"/>
      <c r="AT91" s="32"/>
    </row>
    <row r="92" spans="1:46" x14ac:dyDescent="0.25">
      <c r="A92" s="75">
        <v>42887</v>
      </c>
      <c r="B92" s="142">
        <f t="shared" si="11"/>
        <v>2017</v>
      </c>
      <c r="C92" s="137">
        <f>'Power Purchases'!C176</f>
        <v>41420161.904761903</v>
      </c>
      <c r="D92" s="137">
        <f>'Power Purchases'!D176</f>
        <v>373056.31375825993</v>
      </c>
      <c r="E92" s="237">
        <f t="shared" si="12"/>
        <v>44183325.257777043</v>
      </c>
      <c r="F92" s="212">
        <f>[4]en_climate_daily_ON_6158731_201!$Q$183</f>
        <v>26.699999999999996</v>
      </c>
      <c r="G92" s="212">
        <f>[4]en_climate_daily_ON_6158731_201!$S$183</f>
        <v>68.2</v>
      </c>
      <c r="H92" s="137">
        <v>30</v>
      </c>
      <c r="I92" s="137">
        <v>0</v>
      </c>
      <c r="J92" s="137">
        <v>352</v>
      </c>
      <c r="K92" s="137">
        <v>0</v>
      </c>
      <c r="L92" s="137">
        <v>1</v>
      </c>
      <c r="M92" s="137">
        <f>CDM!B163</f>
        <v>2390107.0392568787</v>
      </c>
      <c r="N92" s="166">
        <f>+(N98-N86)/12+N91</f>
        <v>27152</v>
      </c>
      <c r="S92" s="76">
        <f t="shared" si="10"/>
        <v>45479984.897272252</v>
      </c>
      <c r="T92" s="74">
        <f t="shared" si="13"/>
        <v>2.9347262387567217E-2</v>
      </c>
      <c r="AO92" s="137"/>
      <c r="AP92" s="134"/>
      <c r="AQ92" s="137"/>
      <c r="AR92" s="137"/>
      <c r="AS92" s="137"/>
      <c r="AT92" s="32"/>
    </row>
    <row r="93" spans="1:46" x14ac:dyDescent="0.25">
      <c r="A93" s="75">
        <v>42917</v>
      </c>
      <c r="B93" s="142">
        <f t="shared" si="11"/>
        <v>2017</v>
      </c>
      <c r="C93" s="137">
        <f>'Power Purchases'!C177</f>
        <v>45550933.333333336</v>
      </c>
      <c r="D93" s="137">
        <f>'Power Purchases'!D177</f>
        <v>398576.2469553891</v>
      </c>
      <c r="E93" s="237">
        <f t="shared" si="12"/>
        <v>48373817.374365181</v>
      </c>
      <c r="F93" s="212">
        <f>[4]en_climate_daily_ON_6158731_201!$Q$214</f>
        <v>0</v>
      </c>
      <c r="G93" s="212">
        <f>[4]en_climate_daily_ON_6158731_201!$S$214</f>
        <v>116.49999999999999</v>
      </c>
      <c r="H93" s="137">
        <v>31</v>
      </c>
      <c r="I93" s="137">
        <v>0</v>
      </c>
      <c r="J93" s="137">
        <v>320</v>
      </c>
      <c r="K93" s="137">
        <v>0</v>
      </c>
      <c r="L93" s="137">
        <v>1</v>
      </c>
      <c r="M93" s="137">
        <f>CDM!B164</f>
        <v>2424307.7940764572</v>
      </c>
      <c r="N93" s="166">
        <f>+(N98-N86)/12+N92</f>
        <v>27159</v>
      </c>
      <c r="S93" s="76">
        <f t="shared" si="10"/>
        <v>49007178.82862664</v>
      </c>
      <c r="T93" s="74">
        <f t="shared" si="13"/>
        <v>1.3093063327210098E-2</v>
      </c>
      <c r="AO93" s="137"/>
      <c r="AP93" s="134"/>
      <c r="AQ93" s="137"/>
      <c r="AR93" s="137"/>
      <c r="AS93" s="137"/>
      <c r="AT93" s="32"/>
    </row>
    <row r="94" spans="1:46" x14ac:dyDescent="0.25">
      <c r="A94" s="75">
        <v>42948</v>
      </c>
      <c r="B94" s="142">
        <f t="shared" si="11"/>
        <v>2017</v>
      </c>
      <c r="C94" s="137">
        <f>'Power Purchases'!C178</f>
        <v>43657633.333333343</v>
      </c>
      <c r="D94" s="137">
        <f>'Power Purchases'!D178</f>
        <v>397346.39751648402</v>
      </c>
      <c r="E94" s="237">
        <f t="shared" si="12"/>
        <v>46513488.279745862</v>
      </c>
      <c r="F94" s="212">
        <f>[4]en_climate_daily_ON_6158731_201!$Q$245</f>
        <v>11.6</v>
      </c>
      <c r="G94" s="212">
        <f>[4]en_climate_daily_ON_6158731_201!$S$245</f>
        <v>75.2</v>
      </c>
      <c r="H94" s="137">
        <v>31</v>
      </c>
      <c r="I94" s="137">
        <v>0</v>
      </c>
      <c r="J94" s="137">
        <v>352</v>
      </c>
      <c r="K94" s="137">
        <v>0</v>
      </c>
      <c r="L94" s="137">
        <v>1</v>
      </c>
      <c r="M94" s="137">
        <f>CDM!B165</f>
        <v>2458508.5488960356</v>
      </c>
      <c r="N94" s="166">
        <f>+(N98-N86)/12+N93</f>
        <v>27166</v>
      </c>
      <c r="S94" s="76">
        <f t="shared" si="10"/>
        <v>46801425.709079117</v>
      </c>
      <c r="T94" s="74">
        <f t="shared" si="13"/>
        <v>6.1904071266707392E-3</v>
      </c>
      <c r="AO94" s="137"/>
      <c r="AP94" s="134"/>
      <c r="AQ94" s="137"/>
      <c r="AR94" s="137"/>
      <c r="AS94" s="137"/>
      <c r="AT94" s="32"/>
    </row>
    <row r="95" spans="1:46" x14ac:dyDescent="0.25">
      <c r="A95" s="75">
        <v>42979</v>
      </c>
      <c r="B95" s="142">
        <f t="shared" si="11"/>
        <v>2017</v>
      </c>
      <c r="C95" s="137">
        <f>'Power Purchases'!C179</f>
        <v>40733566.666666672</v>
      </c>
      <c r="D95" s="137">
        <f>'Power Purchases'!D179</f>
        <v>377277.16507901438</v>
      </c>
      <c r="E95" s="237">
        <f t="shared" si="12"/>
        <v>43603553.135461301</v>
      </c>
      <c r="F95" s="212">
        <f>[4]en_climate_daily_ON_6158731_201!$Q$275</f>
        <v>49.1</v>
      </c>
      <c r="G95" s="212">
        <f>[4]en_climate_daily_ON_6158731_201!$S$275</f>
        <v>71.499999999999986</v>
      </c>
      <c r="H95" s="137">
        <v>30</v>
      </c>
      <c r="I95" s="137">
        <v>0</v>
      </c>
      <c r="J95" s="137">
        <v>320</v>
      </c>
      <c r="K95" s="137">
        <v>1</v>
      </c>
      <c r="L95" s="137">
        <v>1</v>
      </c>
      <c r="M95" s="137">
        <f>CDM!B166</f>
        <v>2492709.3037156141</v>
      </c>
      <c r="N95" s="166">
        <f>+(N98-N86)/12+N94</f>
        <v>27173</v>
      </c>
      <c r="S95" s="76">
        <f t="shared" si="10"/>
        <v>44714600.1688594</v>
      </c>
      <c r="T95" s="74">
        <f t="shared" si="13"/>
        <v>2.5480653605142151E-2</v>
      </c>
      <c r="AO95" s="137"/>
      <c r="AP95" s="134"/>
      <c r="AQ95" s="137"/>
      <c r="AR95" s="137"/>
      <c r="AS95" s="137"/>
      <c r="AT95" s="32"/>
    </row>
    <row r="96" spans="1:46" x14ac:dyDescent="0.25">
      <c r="A96" s="75">
        <v>43009</v>
      </c>
      <c r="B96" s="142">
        <f t="shared" si="11"/>
        <v>2017</v>
      </c>
      <c r="C96" s="137">
        <f>'Power Purchases'!C180</f>
        <v>38181133.333333336</v>
      </c>
      <c r="D96" s="137">
        <f>'Power Purchases'!D180</f>
        <v>358325.36015243031</v>
      </c>
      <c r="E96" s="237">
        <f t="shared" si="12"/>
        <v>41066368.752020963</v>
      </c>
      <c r="F96" s="212">
        <f>[4]en_climate_daily_ON_6158731_201!$Q$306</f>
        <v>153.99999999999997</v>
      </c>
      <c r="G96" s="212">
        <f>[4]en_climate_daily_ON_6158731_201!$S$306</f>
        <v>8.1</v>
      </c>
      <c r="H96" s="137">
        <v>31</v>
      </c>
      <c r="I96" s="137">
        <v>0</v>
      </c>
      <c r="J96" s="137">
        <v>336</v>
      </c>
      <c r="K96" s="137">
        <v>1</v>
      </c>
      <c r="L96" s="137">
        <v>1</v>
      </c>
      <c r="M96" s="137">
        <f>CDM!B167</f>
        <v>2526910.0585351926</v>
      </c>
      <c r="N96" s="166">
        <f>+(N98-N86)/12+N95</f>
        <v>27180</v>
      </c>
      <c r="S96" s="76">
        <f t="shared" si="10"/>
        <v>42611414.522768959</v>
      </c>
      <c r="T96" s="74">
        <f t="shared" si="13"/>
        <v>3.762314072806746E-2</v>
      </c>
      <c r="AO96" s="137"/>
      <c r="AP96" s="134"/>
      <c r="AQ96" s="137"/>
      <c r="AR96" s="137"/>
      <c r="AS96" s="137"/>
      <c r="AT96" s="32"/>
    </row>
    <row r="97" spans="1:46" x14ac:dyDescent="0.25">
      <c r="A97" s="75">
        <v>43040</v>
      </c>
      <c r="B97" s="142">
        <f t="shared" si="11"/>
        <v>2017</v>
      </c>
      <c r="C97" s="137">
        <f>'Power Purchases'!C181</f>
        <v>40325900.000000007</v>
      </c>
      <c r="D97" s="137">
        <f>'Power Purchases'!D181</f>
        <v>319298.68199066014</v>
      </c>
      <c r="E97" s="237">
        <f t="shared" si="12"/>
        <v>43206309.495345436</v>
      </c>
      <c r="F97" s="212">
        <f>[4]en_climate_daily_ON_6158731_201!$Q$336</f>
        <v>414.2</v>
      </c>
      <c r="G97" s="212">
        <f>[4]en_climate_daily_ON_6158731_201!$S$336</f>
        <v>0</v>
      </c>
      <c r="H97" s="137">
        <v>30</v>
      </c>
      <c r="I97" s="137">
        <v>0</v>
      </c>
      <c r="J97" s="137">
        <v>352</v>
      </c>
      <c r="K97" s="137">
        <v>1</v>
      </c>
      <c r="L97" s="137">
        <v>1</v>
      </c>
      <c r="M97" s="137">
        <f>CDM!B168</f>
        <v>2561110.8133547711</v>
      </c>
      <c r="N97" s="166">
        <f>+(N98-N86)/12+N96</f>
        <v>27187</v>
      </c>
      <c r="S97" s="76">
        <f t="shared" si="10"/>
        <v>43957101.539843135</v>
      </c>
      <c r="T97" s="74">
        <f t="shared" si="13"/>
        <v>1.7376907522698288E-2</v>
      </c>
      <c r="AO97" s="137"/>
      <c r="AP97" s="134"/>
      <c r="AQ97" s="137"/>
      <c r="AR97" s="137"/>
      <c r="AS97" s="137"/>
      <c r="AT97" s="32"/>
    </row>
    <row r="98" spans="1:46" x14ac:dyDescent="0.25">
      <c r="A98" s="75">
        <v>43070</v>
      </c>
      <c r="B98" s="142">
        <f t="shared" si="11"/>
        <v>2017</v>
      </c>
      <c r="C98" s="137">
        <f>'Power Purchases'!C182</f>
        <v>45098133.333333336</v>
      </c>
      <c r="D98" s="137">
        <f>'Power Purchases'!D182</f>
        <v>325540.98160928162</v>
      </c>
      <c r="E98" s="237">
        <f t="shared" si="12"/>
        <v>48018985.883116968</v>
      </c>
      <c r="F98" s="212">
        <f>[4]en_climate_daily_ON_6158731_201!$Q$367</f>
        <v>718.49999999999989</v>
      </c>
      <c r="G98" s="212">
        <f>[4]en_climate_daily_ON_6158731_201!$S$367</f>
        <v>0</v>
      </c>
      <c r="H98" s="137">
        <v>31</v>
      </c>
      <c r="I98" s="137">
        <v>0</v>
      </c>
      <c r="J98" s="137">
        <v>304</v>
      </c>
      <c r="K98" s="137">
        <v>0</v>
      </c>
      <c r="L98" s="137">
        <v>1</v>
      </c>
      <c r="M98" s="137">
        <f>CDM!B169</f>
        <v>2595311.5681743496</v>
      </c>
      <c r="N98" s="166">
        <f>'Rate Class Customer Model'!I10</f>
        <v>27194</v>
      </c>
      <c r="S98" s="76">
        <f t="shared" si="10"/>
        <v>47827116.373143241</v>
      </c>
      <c r="T98" s="74">
        <f t="shared" si="13"/>
        <v>-3.9957010012822182E-3</v>
      </c>
      <c r="AO98" s="137"/>
      <c r="AP98" s="134"/>
      <c r="AQ98" s="137"/>
      <c r="AR98" s="137"/>
      <c r="AS98" s="137"/>
      <c r="AT98" s="32"/>
    </row>
    <row r="99" spans="1:46" x14ac:dyDescent="0.25">
      <c r="A99" s="75">
        <v>43101</v>
      </c>
      <c r="B99" s="142">
        <f t="shared" si="11"/>
        <v>2018</v>
      </c>
      <c r="C99" s="137">
        <f>'Power Purchases'!C183</f>
        <v>46074166.666666672</v>
      </c>
      <c r="D99" s="137">
        <f>'Power Purchases'!D183</f>
        <v>320237.32634901511</v>
      </c>
      <c r="E99" s="237">
        <f t="shared" si="12"/>
        <v>49006248.19172731</v>
      </c>
      <c r="F99" s="212">
        <f>[5]en_climate_daily_ON_6158731_201!$Q$32</f>
        <v>732.29999999999984</v>
      </c>
      <c r="G99" s="212">
        <f>[5]en_climate_daily_ON_6158731_201!$S$32</f>
        <v>0</v>
      </c>
      <c r="H99" s="137">
        <v>31</v>
      </c>
      <c r="I99" s="137">
        <v>0</v>
      </c>
      <c r="J99" s="137">
        <v>352</v>
      </c>
      <c r="K99" s="137">
        <v>0</v>
      </c>
      <c r="L99" s="137">
        <v>1</v>
      </c>
      <c r="M99" s="137">
        <f>CDM!B170</f>
        <v>2611844.198711629</v>
      </c>
      <c r="N99" s="166">
        <f>+(N110-N98)/12+N98</f>
        <v>27226.166666666668</v>
      </c>
      <c r="S99" s="76">
        <f t="shared" ref="S99:S130" si="14">+$W$19+F99*$W$20+G99*$W$21+H99*$W$22+I99*$W$23+J99*$W$24+K99*$W$25+L99*$W$26+M99*$W$27</f>
        <v>48803380.269524433</v>
      </c>
      <c r="T99" s="74">
        <f t="shared" si="13"/>
        <v>-4.1396338158594973E-3</v>
      </c>
      <c r="U99" s="87"/>
      <c r="AO99" s="137"/>
      <c r="AP99" s="134"/>
      <c r="AQ99" s="137"/>
      <c r="AR99" s="137"/>
      <c r="AS99" s="137"/>
      <c r="AT99" s="32"/>
    </row>
    <row r="100" spans="1:46" x14ac:dyDescent="0.25">
      <c r="A100" s="75">
        <v>43132</v>
      </c>
      <c r="B100" s="142">
        <f t="shared" si="11"/>
        <v>2018</v>
      </c>
      <c r="C100" s="137">
        <f>'Power Purchases'!C184</f>
        <v>39409333.333333336</v>
      </c>
      <c r="D100" s="137">
        <f>'Power Purchases'!D184</f>
        <v>284444.4508901728</v>
      </c>
      <c r="E100" s="237">
        <f t="shared" si="12"/>
        <v>42322154.613472417</v>
      </c>
      <c r="F100" s="212">
        <f>[5]en_climate_daily_ON_6158731_201!$Q$61</f>
        <v>555.00000000000023</v>
      </c>
      <c r="G100" s="212">
        <f>[5]en_climate_daily_ON_6158731_201!$S$61</f>
        <v>0</v>
      </c>
      <c r="H100" s="137">
        <v>28</v>
      </c>
      <c r="I100" s="137">
        <v>0</v>
      </c>
      <c r="J100" s="137">
        <v>304</v>
      </c>
      <c r="K100" s="137">
        <v>0</v>
      </c>
      <c r="L100" s="137">
        <v>1</v>
      </c>
      <c r="M100" s="137">
        <f>CDM!B171</f>
        <v>2628376.8292489084</v>
      </c>
      <c r="N100" s="166">
        <f>+(N110-N98)/12+N99</f>
        <v>27258.333333333336</v>
      </c>
      <c r="S100" s="76">
        <f t="shared" si="14"/>
        <v>43227909.382156111</v>
      </c>
      <c r="T100" s="74">
        <f t="shared" si="13"/>
        <v>2.1401433290812781E-2</v>
      </c>
      <c r="AO100" s="137"/>
      <c r="AP100" s="134"/>
      <c r="AQ100" s="137"/>
      <c r="AR100" s="137"/>
      <c r="AS100" s="137"/>
      <c r="AT100" s="32"/>
    </row>
    <row r="101" spans="1:46" x14ac:dyDescent="0.25">
      <c r="A101" s="75">
        <v>43160</v>
      </c>
      <c r="B101" s="142">
        <f t="shared" si="11"/>
        <v>2018</v>
      </c>
      <c r="C101" s="137">
        <f>'Power Purchases'!C185</f>
        <v>41669166.666666672</v>
      </c>
      <c r="D101" s="137">
        <f>'Power Purchases'!D185</f>
        <v>297278.0205533196</v>
      </c>
      <c r="E101" s="237">
        <f t="shared" si="12"/>
        <v>44611354.147006184</v>
      </c>
      <c r="F101" s="212">
        <f>[5]en_climate_daily_ON_6158731_201!$Q$92</f>
        <v>553.99999999999989</v>
      </c>
      <c r="G101" s="212">
        <f>[5]en_climate_daily_ON_6158731_201!$S$92</f>
        <v>0</v>
      </c>
      <c r="H101" s="137">
        <v>31</v>
      </c>
      <c r="I101" s="137">
        <v>1</v>
      </c>
      <c r="J101" s="137">
        <v>336</v>
      </c>
      <c r="K101" s="137">
        <v>0</v>
      </c>
      <c r="L101" s="137">
        <v>1</v>
      </c>
      <c r="M101" s="137">
        <f>CDM!B172</f>
        <v>2644909.4597861879</v>
      </c>
      <c r="N101" s="166">
        <f>+(N110-N98)/12+N100</f>
        <v>27290.500000000004</v>
      </c>
      <c r="S101" s="76">
        <f t="shared" si="14"/>
        <v>44955645.523810983</v>
      </c>
      <c r="T101" s="74">
        <f t="shared" si="13"/>
        <v>7.7175728777536742E-3</v>
      </c>
      <c r="U101" s="136"/>
      <c r="AO101" s="137"/>
      <c r="AP101" s="134"/>
      <c r="AQ101" s="137"/>
      <c r="AR101" s="137"/>
      <c r="AS101" s="137"/>
      <c r="AT101" s="32"/>
    </row>
    <row r="102" spans="1:46" x14ac:dyDescent="0.25">
      <c r="A102" s="75">
        <v>43191</v>
      </c>
      <c r="B102" s="142">
        <f t="shared" si="11"/>
        <v>2018</v>
      </c>
      <c r="C102" s="137">
        <f>'Power Purchases'!C186</f>
        <v>39557433.333333336</v>
      </c>
      <c r="D102" s="137">
        <f>'Power Purchases'!D186</f>
        <v>292924.32197991008</v>
      </c>
      <c r="E102" s="237">
        <f t="shared" si="12"/>
        <v>42511799.745636716</v>
      </c>
      <c r="F102" s="212">
        <f>[5]en_climate_daily_ON_6158731_201!$Q$122</f>
        <v>437.20000000000005</v>
      </c>
      <c r="G102" s="212">
        <f>[5]en_climate_daily_ON_6158731_201!$S$122</f>
        <v>0</v>
      </c>
      <c r="H102" s="137">
        <v>30</v>
      </c>
      <c r="I102" s="137">
        <v>1</v>
      </c>
      <c r="J102" s="137">
        <v>336</v>
      </c>
      <c r="K102" s="137">
        <v>0</v>
      </c>
      <c r="L102" s="137">
        <v>1</v>
      </c>
      <c r="M102" s="137">
        <f>CDM!B173</f>
        <v>2661442.0903234673</v>
      </c>
      <c r="N102" s="166">
        <f>+(N110-N98)/12+N101</f>
        <v>27322.666666666672</v>
      </c>
      <c r="S102" s="76">
        <f t="shared" si="14"/>
        <v>42796096.796246566</v>
      </c>
      <c r="T102" s="74">
        <f t="shared" si="13"/>
        <v>6.6874856465945973E-3</v>
      </c>
      <c r="U102" s="136"/>
      <c r="AO102" s="137"/>
      <c r="AP102" s="134"/>
      <c r="AQ102" s="137"/>
      <c r="AR102" s="137"/>
      <c r="AS102" s="137"/>
      <c r="AT102" s="32"/>
    </row>
    <row r="103" spans="1:46" x14ac:dyDescent="0.25">
      <c r="A103" s="75">
        <v>43221</v>
      </c>
      <c r="B103" s="142">
        <f t="shared" si="11"/>
        <v>2018</v>
      </c>
      <c r="C103" s="137">
        <f>'Power Purchases'!C187</f>
        <v>40201866.666666672</v>
      </c>
      <c r="D103" s="137">
        <f>'Power Purchases'!D187</f>
        <v>360673.50924632017</v>
      </c>
      <c r="E103" s="237">
        <f t="shared" si="12"/>
        <v>43240514.896773741</v>
      </c>
      <c r="F103" s="212">
        <f>[5]en_climate_daily_ON_6158731_201!$Q$153</f>
        <v>75.3</v>
      </c>
      <c r="G103" s="212">
        <f>[5]en_climate_daily_ON_6158731_201!$S$153</f>
        <v>43.4</v>
      </c>
      <c r="H103" s="137">
        <v>31</v>
      </c>
      <c r="I103" s="137">
        <v>1</v>
      </c>
      <c r="J103" s="137">
        <v>352</v>
      </c>
      <c r="K103" s="137">
        <v>0</v>
      </c>
      <c r="L103" s="137">
        <v>1</v>
      </c>
      <c r="M103" s="137">
        <f>CDM!B174</f>
        <v>2677974.7208607467</v>
      </c>
      <c r="N103" s="166">
        <f>+(N110-N98)/12+N102</f>
        <v>27354.833333333339</v>
      </c>
      <c r="S103" s="76">
        <f t="shared" si="14"/>
        <v>43448279.932397835</v>
      </c>
      <c r="T103" s="74">
        <f t="shared" si="13"/>
        <v>4.8048696025031852E-3</v>
      </c>
      <c r="U103" s="136"/>
      <c r="AO103" s="137"/>
      <c r="AP103" s="134"/>
      <c r="AQ103" s="137"/>
      <c r="AR103" s="137"/>
      <c r="AS103" s="137"/>
      <c r="AT103" s="32"/>
    </row>
    <row r="104" spans="1:46" x14ac:dyDescent="0.25">
      <c r="A104" s="75">
        <v>43252</v>
      </c>
      <c r="B104" s="142">
        <f t="shared" si="11"/>
        <v>2018</v>
      </c>
      <c r="C104" s="137">
        <f>'Power Purchases'!C188</f>
        <v>42663466.666666672</v>
      </c>
      <c r="D104" s="137">
        <f>'Power Purchases'!D188</f>
        <v>364542.88705635478</v>
      </c>
      <c r="E104" s="237">
        <f t="shared" si="12"/>
        <v>45722516.905121058</v>
      </c>
      <c r="F104" s="212">
        <f>[5]en_climate_daily_ON_6158731_201!$Q$183</f>
        <v>14.799999999999999</v>
      </c>
      <c r="G104" s="212">
        <f>[5]en_climate_daily_ON_6158731_201!$S$183</f>
        <v>60.5</v>
      </c>
      <c r="H104" s="137">
        <v>30</v>
      </c>
      <c r="I104" s="137">
        <v>0</v>
      </c>
      <c r="J104" s="137">
        <v>336</v>
      </c>
      <c r="K104" s="137">
        <v>0</v>
      </c>
      <c r="L104" s="137">
        <v>1</v>
      </c>
      <c r="M104" s="137">
        <f>CDM!B175</f>
        <v>2694507.3513980261</v>
      </c>
      <c r="N104" s="166">
        <f>+(N110-N98)/12+N103</f>
        <v>27387.000000000007</v>
      </c>
      <c r="S104" s="76">
        <f t="shared" si="14"/>
        <v>44544070.650252171</v>
      </c>
      <c r="T104" s="74">
        <f t="shared" si="13"/>
        <v>-2.5773871051637094E-2</v>
      </c>
      <c r="U104" s="136"/>
      <c r="AO104" s="137"/>
      <c r="AP104" s="134"/>
      <c r="AQ104" s="137"/>
      <c r="AR104" s="137"/>
      <c r="AS104" s="137"/>
      <c r="AT104" s="32"/>
    </row>
    <row r="105" spans="1:46" x14ac:dyDescent="0.25">
      <c r="A105" s="75">
        <v>43282</v>
      </c>
      <c r="B105" s="142">
        <f t="shared" si="11"/>
        <v>2018</v>
      </c>
      <c r="C105" s="137">
        <f>'Power Purchases'!C189</f>
        <v>49594733.333333336</v>
      </c>
      <c r="D105" s="137">
        <f>'Power Purchases'!D189</f>
        <v>401459.76182401151</v>
      </c>
      <c r="E105" s="237">
        <f t="shared" si="12"/>
        <v>52707233.077092655</v>
      </c>
      <c r="F105" s="212">
        <f>[5]en_climate_daily_ON_6158731_201!$Q$214</f>
        <v>0</v>
      </c>
      <c r="G105" s="212">
        <f>[5]en_climate_daily_ON_6158731_201!$S$214</f>
        <v>167.8</v>
      </c>
      <c r="H105" s="137">
        <v>31</v>
      </c>
      <c r="I105" s="137">
        <v>0</v>
      </c>
      <c r="J105" s="137">
        <v>336</v>
      </c>
      <c r="K105" s="137">
        <v>0</v>
      </c>
      <c r="L105" s="137">
        <v>1</v>
      </c>
      <c r="M105" s="137">
        <f>CDM!B176</f>
        <v>2711039.9819353055</v>
      </c>
      <c r="N105" s="166">
        <f>+(N110-N98)/12+N104</f>
        <v>27419.166666666675</v>
      </c>
      <c r="S105" s="76">
        <f t="shared" si="14"/>
        <v>52864586.225780807</v>
      </c>
      <c r="T105" s="74">
        <f t="shared" si="13"/>
        <v>2.9854184995444285E-3</v>
      </c>
      <c r="U105" s="136"/>
      <c r="AO105" s="137"/>
      <c r="AP105" s="134"/>
      <c r="AQ105" s="137"/>
      <c r="AR105" s="137"/>
      <c r="AS105" s="137"/>
      <c r="AT105" s="32"/>
    </row>
    <row r="106" spans="1:46" x14ac:dyDescent="0.25">
      <c r="A106" s="75">
        <v>43313</v>
      </c>
      <c r="B106" s="142">
        <f t="shared" si="11"/>
        <v>2018</v>
      </c>
      <c r="C106" s="137">
        <f>'Power Purchases'!C190</f>
        <v>48809233.333333336</v>
      </c>
      <c r="D106" s="137">
        <f>'Power Purchases'!D190</f>
        <v>402407.58777856932</v>
      </c>
      <c r="E106" s="237">
        <f t="shared" si="12"/>
        <v>51939213.53358449</v>
      </c>
      <c r="F106" s="212">
        <f>[5]en_climate_daily_ON_6158731_201!$Q$245</f>
        <v>1.2</v>
      </c>
      <c r="G106" s="212">
        <f>[5]en_climate_daily_ON_6158731_201!$S$245</f>
        <v>162.4</v>
      </c>
      <c r="H106" s="137">
        <v>31</v>
      </c>
      <c r="I106" s="137">
        <v>0</v>
      </c>
      <c r="J106" s="137">
        <v>352</v>
      </c>
      <c r="K106" s="137">
        <v>0</v>
      </c>
      <c r="L106" s="137">
        <v>1</v>
      </c>
      <c r="M106" s="137">
        <f>CDM!B177</f>
        <v>2727572.6124725849</v>
      </c>
      <c r="N106" s="166">
        <f>+(N110-N98)/12+N105</f>
        <v>27451.333333333343</v>
      </c>
      <c r="S106" s="76">
        <f t="shared" si="14"/>
        <v>52779160.458618909</v>
      </c>
      <c r="T106" s="74">
        <f t="shared" si="13"/>
        <v>1.6171729756579763E-2</v>
      </c>
      <c r="U106" s="136"/>
      <c r="AO106" s="137"/>
      <c r="AP106" s="134"/>
      <c r="AQ106" s="137"/>
      <c r="AR106" s="137"/>
      <c r="AS106" s="137"/>
      <c r="AT106" s="32"/>
    </row>
    <row r="107" spans="1:46" x14ac:dyDescent="0.25">
      <c r="A107" s="75">
        <v>43344</v>
      </c>
      <c r="B107" s="142">
        <f t="shared" si="11"/>
        <v>2018</v>
      </c>
      <c r="C107" s="137">
        <f>'Power Purchases'!C191</f>
        <v>42308633.333333336</v>
      </c>
      <c r="D107" s="137">
        <f>'Power Purchases'!D191</f>
        <v>360815.62075517158</v>
      </c>
      <c r="E107" s="237">
        <f t="shared" si="12"/>
        <v>45413554.197098374</v>
      </c>
      <c r="F107" s="212">
        <f>[5]en_climate_daily_ON_6158731_201!$Q$275</f>
        <v>41.399999999999991</v>
      </c>
      <c r="G107" s="212">
        <f>[5]en_climate_daily_ON_6158731_201!$S$275</f>
        <v>76.399999999999977</v>
      </c>
      <c r="H107" s="137">
        <v>30</v>
      </c>
      <c r="I107" s="137">
        <v>0</v>
      </c>
      <c r="J107" s="137">
        <v>304</v>
      </c>
      <c r="K107" s="137">
        <v>1</v>
      </c>
      <c r="L107" s="137">
        <v>1</v>
      </c>
      <c r="M107" s="137">
        <f>CDM!B178</f>
        <v>2744105.2430098644</v>
      </c>
      <c r="N107" s="166">
        <f>+(N110-N98)/12+N106</f>
        <v>27483.500000000011</v>
      </c>
      <c r="S107" s="76">
        <f t="shared" si="14"/>
        <v>44699787.219222315</v>
      </c>
      <c r="T107" s="74">
        <f t="shared" si="13"/>
        <v>-1.5717047266951518E-2</v>
      </c>
      <c r="U107" s="136"/>
      <c r="AO107" s="137"/>
      <c r="AP107" s="134"/>
      <c r="AQ107" s="137"/>
      <c r="AR107" s="137"/>
      <c r="AS107" s="137"/>
      <c r="AT107" s="32"/>
    </row>
    <row r="108" spans="1:46" x14ac:dyDescent="0.25">
      <c r="A108" s="75">
        <v>43374</v>
      </c>
      <c r="B108" s="142">
        <f t="shared" si="11"/>
        <v>2018</v>
      </c>
      <c r="C108" s="137">
        <f>'Power Purchases'!C192</f>
        <v>39783933.333333336</v>
      </c>
      <c r="D108" s="137">
        <f>'Power Purchases'!D192</f>
        <v>324267.21904591308</v>
      </c>
      <c r="E108" s="237">
        <f t="shared" si="12"/>
        <v>42868838.425926395</v>
      </c>
      <c r="F108" s="212">
        <f>[5]en_climate_daily_ON_6158731_201!$Q$306</f>
        <v>289.40000000000003</v>
      </c>
      <c r="G108" s="212">
        <f>[5]en_climate_daily_ON_6158731_201!$S$306</f>
        <v>8.1999999999999993</v>
      </c>
      <c r="H108" s="137">
        <v>31</v>
      </c>
      <c r="I108" s="137">
        <v>0</v>
      </c>
      <c r="J108" s="137">
        <v>352</v>
      </c>
      <c r="K108" s="137">
        <v>1</v>
      </c>
      <c r="L108" s="137">
        <v>1</v>
      </c>
      <c r="M108" s="137">
        <f>CDM!B179</f>
        <v>2760637.8735471438</v>
      </c>
      <c r="N108" s="166">
        <f>+(N110-N98)/12+N107</f>
        <v>27515.666666666679</v>
      </c>
      <c r="S108" s="76">
        <f t="shared" si="14"/>
        <v>44259116.712733857</v>
      </c>
      <c r="T108" s="74">
        <f t="shared" si="13"/>
        <v>3.2430976388822426E-2</v>
      </c>
      <c r="U108" s="136"/>
      <c r="AO108" s="137"/>
      <c r="AP108" s="134"/>
      <c r="AQ108" s="137"/>
      <c r="AR108" s="137"/>
      <c r="AS108" s="137"/>
      <c r="AT108" s="32"/>
    </row>
    <row r="109" spans="1:46" x14ac:dyDescent="0.25">
      <c r="A109" s="75">
        <v>43405</v>
      </c>
      <c r="B109" s="142">
        <f t="shared" si="11"/>
        <v>2018</v>
      </c>
      <c r="C109" s="137">
        <f>'Power Purchases'!C193</f>
        <v>41666833.333333336</v>
      </c>
      <c r="D109" s="137">
        <f>'Power Purchases'!D193</f>
        <v>300684.76655282278</v>
      </c>
      <c r="E109" s="237">
        <f t="shared" si="12"/>
        <v>44744688.60397058</v>
      </c>
      <c r="F109" s="212">
        <f>[5]en_climate_daily_ON_6158731_201!$Q$336</f>
        <v>494.1</v>
      </c>
      <c r="G109" s="212">
        <f>[5]en_climate_daily_ON_6158731_201!$S$336</f>
        <v>0</v>
      </c>
      <c r="H109" s="137">
        <v>30</v>
      </c>
      <c r="I109" s="137">
        <v>0</v>
      </c>
      <c r="J109" s="137">
        <v>336</v>
      </c>
      <c r="K109" s="137">
        <v>1</v>
      </c>
      <c r="L109" s="137">
        <v>1</v>
      </c>
      <c r="M109" s="137">
        <f>CDM!B180</f>
        <v>2777170.5040844232</v>
      </c>
      <c r="N109" s="166">
        <f>+(N110-N98)/12+N108</f>
        <v>27547.833333333347</v>
      </c>
      <c r="S109" s="76">
        <f t="shared" si="14"/>
        <v>44481399.939814351</v>
      </c>
      <c r="T109" s="74">
        <f t="shared" si="13"/>
        <v>-5.8842439710903348E-3</v>
      </c>
      <c r="U109" s="136"/>
      <c r="AO109" s="137"/>
      <c r="AP109" s="134"/>
      <c r="AQ109" s="137"/>
      <c r="AR109" s="137"/>
      <c r="AS109" s="137"/>
      <c r="AT109" s="32"/>
    </row>
    <row r="110" spans="1:46" x14ac:dyDescent="0.25">
      <c r="A110" s="75">
        <v>43435</v>
      </c>
      <c r="B110" s="142">
        <f t="shared" si="11"/>
        <v>2018</v>
      </c>
      <c r="C110" s="137">
        <f>'Power Purchases'!C194</f>
        <v>43526733.333333336</v>
      </c>
      <c r="D110" s="137">
        <f>'Power Purchases'!D194</f>
        <v>315044.48572520504</v>
      </c>
      <c r="E110" s="237">
        <f t="shared" si="12"/>
        <v>46635480.95368024</v>
      </c>
      <c r="F110" s="212">
        <f>[5]en_climate_daily_ON_6158731_201!$Q$367</f>
        <v>563.60000000000014</v>
      </c>
      <c r="G110" s="212">
        <f>[5]en_climate_daily_ON_6158731_201!$S$367</f>
        <v>0</v>
      </c>
      <c r="H110" s="137">
        <v>31</v>
      </c>
      <c r="I110" s="137">
        <v>0</v>
      </c>
      <c r="J110" s="137">
        <v>304</v>
      </c>
      <c r="K110" s="137">
        <v>0</v>
      </c>
      <c r="L110" s="137">
        <v>1</v>
      </c>
      <c r="M110" s="137">
        <f>CDM!B181</f>
        <v>2793703.1346217026</v>
      </c>
      <c r="N110" s="166">
        <f>'Rate Class Customer Model'!I11</f>
        <v>27580</v>
      </c>
      <c r="S110" s="76">
        <f t="shared" si="14"/>
        <v>46269464.522981226</v>
      </c>
      <c r="T110" s="74">
        <f t="shared" si="13"/>
        <v>-7.848454078613485E-3</v>
      </c>
      <c r="U110" s="136"/>
      <c r="AO110" s="137"/>
      <c r="AP110" s="134"/>
      <c r="AQ110" s="137"/>
      <c r="AR110" s="137"/>
      <c r="AS110" s="137"/>
      <c r="AT110" s="32"/>
    </row>
    <row r="111" spans="1:46" x14ac:dyDescent="0.25">
      <c r="A111" s="75">
        <v>43466</v>
      </c>
      <c r="B111" s="142">
        <f t="shared" si="11"/>
        <v>2019</v>
      </c>
      <c r="C111" s="137">
        <f>'Power Purchases'!C195</f>
        <v>46152339.999999993</v>
      </c>
      <c r="D111" s="137">
        <f>'Power Purchases'!D195</f>
        <v>309797.92818653339</v>
      </c>
      <c r="E111" s="237">
        <f t="shared" si="12"/>
        <v>49259546.304917715</v>
      </c>
      <c r="F111" s="212">
        <f>[6]en_climate_daily_ON_6158731_201!$Q$32</f>
        <v>764.5</v>
      </c>
      <c r="G111" s="212">
        <f>[6]en_climate_daily_ON_6158731_201!$S$32</f>
        <v>0</v>
      </c>
      <c r="H111" s="137">
        <v>31</v>
      </c>
      <c r="I111" s="137">
        <v>0</v>
      </c>
      <c r="J111" s="137">
        <v>352</v>
      </c>
      <c r="K111" s="137">
        <v>0</v>
      </c>
      <c r="L111" s="137">
        <v>1</v>
      </c>
      <c r="M111" s="137">
        <f>CDM!B182</f>
        <v>2797408.3767311843</v>
      </c>
      <c r="N111" s="166">
        <f>+(N122-N110)/12+N110</f>
        <v>27591.583333333332</v>
      </c>
      <c r="S111" s="76">
        <f t="shared" si="14"/>
        <v>49127178.781953208</v>
      </c>
      <c r="T111" s="74">
        <f t="shared" si="13"/>
        <v>-2.6871445819892322E-3</v>
      </c>
      <c r="U111" s="136"/>
      <c r="AO111" s="137"/>
      <c r="AP111" s="134"/>
      <c r="AQ111" s="137"/>
      <c r="AR111" s="137"/>
      <c r="AS111" s="137"/>
      <c r="AT111" s="32"/>
    </row>
    <row r="112" spans="1:46" x14ac:dyDescent="0.25">
      <c r="A112" s="75">
        <v>43497</v>
      </c>
      <c r="B112" s="142">
        <f t="shared" si="11"/>
        <v>2019</v>
      </c>
      <c r="C112" s="137">
        <f>'Power Purchases'!C196</f>
        <v>40751000</v>
      </c>
      <c r="D112" s="137">
        <f>'Power Purchases'!D196</f>
        <v>270799.20439801225</v>
      </c>
      <c r="E112" s="237">
        <f t="shared" si="12"/>
        <v>43822912.823238678</v>
      </c>
      <c r="F112" s="212">
        <f>[6]en_climate_daily_ON_6158731_201!$Q$61</f>
        <v>621.70000000000016</v>
      </c>
      <c r="G112" s="212">
        <f>[6]en_climate_daily_ON_6158731_201!$S$61</f>
        <v>0</v>
      </c>
      <c r="H112" s="137">
        <v>28</v>
      </c>
      <c r="I112" s="137">
        <v>0</v>
      </c>
      <c r="J112" s="137">
        <v>304</v>
      </c>
      <c r="K112" s="137">
        <v>0</v>
      </c>
      <c r="L112" s="137">
        <v>1</v>
      </c>
      <c r="M112" s="137">
        <f>CDM!B183</f>
        <v>2801113.618840666</v>
      </c>
      <c r="N112" s="166">
        <f>+(N122-N110)/12+N111</f>
        <v>27603.166666666664</v>
      </c>
      <c r="S112" s="76">
        <f t="shared" si="14"/>
        <v>43898634.872187138</v>
      </c>
      <c r="T112" s="74">
        <f t="shared" si="13"/>
        <v>1.727909992060249E-3</v>
      </c>
      <c r="U112" s="136"/>
      <c r="AO112" s="137"/>
      <c r="AP112" s="134"/>
      <c r="AQ112" s="137"/>
      <c r="AR112" s="137"/>
      <c r="AS112" s="137"/>
      <c r="AT112" s="32"/>
    </row>
    <row r="113" spans="1:46" x14ac:dyDescent="0.25">
      <c r="A113" s="75">
        <v>43525</v>
      </c>
      <c r="B113" s="142">
        <f t="shared" si="11"/>
        <v>2019</v>
      </c>
      <c r="C113" s="137">
        <f>'Power Purchases'!C197</f>
        <v>42699019.999999993</v>
      </c>
      <c r="D113" s="137">
        <f>'Power Purchases'!D197</f>
        <v>295286.8300038923</v>
      </c>
      <c r="E113" s="237">
        <f t="shared" si="12"/>
        <v>45799125.690954037</v>
      </c>
      <c r="F113" s="212">
        <f>[6]en_climate_daily_ON_6158731_201!$Q$92</f>
        <v>593.90000000000009</v>
      </c>
      <c r="G113" s="212">
        <f>[6]en_climate_daily_ON_6158731_201!$S$92</f>
        <v>0</v>
      </c>
      <c r="H113" s="137">
        <v>31</v>
      </c>
      <c r="I113" s="137">
        <v>1</v>
      </c>
      <c r="J113" s="137">
        <v>336</v>
      </c>
      <c r="K113" s="137">
        <v>0</v>
      </c>
      <c r="L113" s="137">
        <v>1</v>
      </c>
      <c r="M113" s="137">
        <f>CDM!B184</f>
        <v>2804818.8609501477</v>
      </c>
      <c r="N113" s="166">
        <f>+(N122-N110)/12+N112</f>
        <v>27614.749999999996</v>
      </c>
      <c r="S113" s="76">
        <f t="shared" si="14"/>
        <v>45356874.115298808</v>
      </c>
      <c r="T113" s="74">
        <f t="shared" si="13"/>
        <v>-9.6563322767224836E-3</v>
      </c>
      <c r="U113" s="136"/>
      <c r="AO113" s="137"/>
      <c r="AP113" s="134"/>
      <c r="AQ113" s="137"/>
      <c r="AR113" s="137"/>
      <c r="AS113" s="137"/>
      <c r="AT113" s="32"/>
    </row>
    <row r="114" spans="1:46" x14ac:dyDescent="0.25">
      <c r="A114" s="75">
        <v>43556</v>
      </c>
      <c r="B114" s="142">
        <f t="shared" si="11"/>
        <v>2019</v>
      </c>
      <c r="C114" s="137">
        <f>'Power Purchases'!C198</f>
        <v>38635080</v>
      </c>
      <c r="D114" s="137">
        <f>'Power Purchases'!D198</f>
        <v>289781.40495674399</v>
      </c>
      <c r="E114" s="237">
        <f t="shared" si="12"/>
        <v>41733385.50801637</v>
      </c>
      <c r="F114" s="212">
        <f>[6]en_climate_daily_ON_6158731_201!$Q$122</f>
        <v>346.8</v>
      </c>
      <c r="G114" s="212">
        <f>[6]en_climate_daily_ON_6158731_201!$S$122</f>
        <v>0</v>
      </c>
      <c r="H114" s="137">
        <v>30</v>
      </c>
      <c r="I114" s="137">
        <v>1</v>
      </c>
      <c r="J114" s="137">
        <v>336</v>
      </c>
      <c r="K114" s="137">
        <v>0</v>
      </c>
      <c r="L114" s="137">
        <v>1</v>
      </c>
      <c r="M114" s="137">
        <f>CDM!B185</f>
        <v>2808524.1030596294</v>
      </c>
      <c r="N114" s="166">
        <f>+(N122-N110)/12+N113</f>
        <v>27626.333333333328</v>
      </c>
      <c r="S114" s="76">
        <f t="shared" si="14"/>
        <v>41887047.556384414</v>
      </c>
      <c r="T114" s="74">
        <f t="shared" si="13"/>
        <v>3.6819933608915572E-3</v>
      </c>
      <c r="U114" s="136"/>
      <c r="AO114" s="137"/>
      <c r="AP114" s="134"/>
      <c r="AQ114" s="137"/>
      <c r="AR114" s="137"/>
      <c r="AS114" s="137"/>
      <c r="AT114" s="32"/>
    </row>
    <row r="115" spans="1:46" x14ac:dyDescent="0.25">
      <c r="A115" s="75">
        <v>43586</v>
      </c>
      <c r="B115" s="142">
        <f t="shared" si="11"/>
        <v>2019</v>
      </c>
      <c r="C115" s="137">
        <f>'Power Purchases'!C199</f>
        <v>38362240</v>
      </c>
      <c r="D115" s="137">
        <f>'Power Purchases'!D199</f>
        <v>314497.123961784</v>
      </c>
      <c r="E115" s="237">
        <f t="shared" si="12"/>
        <v>41488966.469130896</v>
      </c>
      <c r="F115" s="212">
        <f>[6]en_climate_daily_ON_6158731_201!$Q$153</f>
        <v>180.99999999999997</v>
      </c>
      <c r="G115" s="212">
        <f>[6]en_climate_daily_ON_6158731_201!$S$153</f>
        <v>0</v>
      </c>
      <c r="H115" s="137">
        <v>31</v>
      </c>
      <c r="I115" s="137">
        <v>1</v>
      </c>
      <c r="J115" s="137">
        <v>352</v>
      </c>
      <c r="K115" s="137">
        <v>0</v>
      </c>
      <c r="L115" s="137">
        <v>1</v>
      </c>
      <c r="M115" s="137">
        <f>CDM!B186</f>
        <v>2812229.3451691112</v>
      </c>
      <c r="N115" s="166">
        <f>+(N122-N110)/12+N114</f>
        <v>27637.916666666661</v>
      </c>
      <c r="S115" s="76">
        <f t="shared" si="14"/>
        <v>41483976.192384079</v>
      </c>
      <c r="T115" s="74">
        <f t="shared" si="13"/>
        <v>-1.2027961097873713E-4</v>
      </c>
      <c r="U115" s="136"/>
      <c r="AO115" s="137"/>
      <c r="AP115" s="134"/>
      <c r="AQ115" s="137"/>
      <c r="AR115" s="137"/>
      <c r="AS115" s="137"/>
      <c r="AT115" s="32"/>
    </row>
    <row r="116" spans="1:46" x14ac:dyDescent="0.25">
      <c r="A116" s="75">
        <v>43617</v>
      </c>
      <c r="B116" s="142">
        <f t="shared" si="11"/>
        <v>2019</v>
      </c>
      <c r="C116" s="137">
        <f>'Power Purchases'!C200</f>
        <v>40119440</v>
      </c>
      <c r="D116" s="137">
        <f>'Power Purchases'!D200</f>
        <v>337365.23551760335</v>
      </c>
      <c r="E116" s="237">
        <f t="shared" si="12"/>
        <v>43272739.822796196</v>
      </c>
      <c r="F116" s="212">
        <f>[6]en_climate_daily_ON_6158731_201!$Q$183</f>
        <v>35.5</v>
      </c>
      <c r="G116" s="212">
        <f>[6]en_climate_daily_ON_6158731_201!$S$183</f>
        <v>41.300000000000004</v>
      </c>
      <c r="H116" s="137">
        <v>30</v>
      </c>
      <c r="I116" s="137">
        <v>0</v>
      </c>
      <c r="J116" s="137">
        <v>320</v>
      </c>
      <c r="K116" s="137">
        <v>0</v>
      </c>
      <c r="L116" s="137">
        <v>1</v>
      </c>
      <c r="M116" s="137">
        <f>CDM!B187</f>
        <v>2815934.5872785929</v>
      </c>
      <c r="N116" s="166">
        <f>+(N122-N110)/12+N115</f>
        <v>27649.499999999993</v>
      </c>
      <c r="S116" s="76">
        <f t="shared" si="14"/>
        <v>43133837.007330075</v>
      </c>
      <c r="T116" s="74">
        <f t="shared" si="13"/>
        <v>-3.2099380819179484E-3</v>
      </c>
      <c r="U116" s="136"/>
      <c r="AO116" s="137"/>
      <c r="AP116" s="134"/>
      <c r="AQ116" s="137"/>
      <c r="AR116" s="137"/>
      <c r="AS116" s="137"/>
      <c r="AT116" s="32"/>
    </row>
    <row r="117" spans="1:46" x14ac:dyDescent="0.25">
      <c r="A117" s="75">
        <v>43647</v>
      </c>
      <c r="B117" s="142">
        <f t="shared" si="11"/>
        <v>2019</v>
      </c>
      <c r="C117" s="137">
        <f>'Power Purchases'!C201</f>
        <v>50773519.999999993</v>
      </c>
      <c r="D117" s="137">
        <f>'Power Purchases'!D201</f>
        <v>399065.92875638278</v>
      </c>
      <c r="E117" s="237">
        <f t="shared" si="12"/>
        <v>53992225.758144453</v>
      </c>
      <c r="F117" s="212">
        <f>[6]en_climate_daily_ON_6158731_201!$Q$214</f>
        <v>0</v>
      </c>
      <c r="G117" s="212">
        <f>[6]en_climate_daily_ON_6158731_201!$S$214</f>
        <v>166.90000000000003</v>
      </c>
      <c r="H117" s="137">
        <v>31</v>
      </c>
      <c r="I117" s="137">
        <v>0</v>
      </c>
      <c r="J117" s="137">
        <v>352</v>
      </c>
      <c r="K117" s="137">
        <v>0</v>
      </c>
      <c r="L117" s="137">
        <v>1</v>
      </c>
      <c r="M117" s="137">
        <f>CDM!B188</f>
        <v>2819639.8293880746</v>
      </c>
      <c r="N117" s="166">
        <f>+(N122-N110)/12+N116</f>
        <v>27661.083333333325</v>
      </c>
      <c r="S117" s="76">
        <f t="shared" si="14"/>
        <v>53080974.40074148</v>
      </c>
      <c r="T117" s="74">
        <f t="shared" si="13"/>
        <v>-1.6877454941103539E-2</v>
      </c>
      <c r="U117" s="136"/>
      <c r="AO117" s="137"/>
      <c r="AP117" s="134"/>
      <c r="AQ117" s="137"/>
      <c r="AR117" s="137"/>
      <c r="AS117" s="137"/>
      <c r="AT117" s="32"/>
    </row>
    <row r="118" spans="1:46" x14ac:dyDescent="0.25">
      <c r="A118" s="75">
        <v>43678</v>
      </c>
      <c r="B118" s="142">
        <f t="shared" si="11"/>
        <v>2019</v>
      </c>
      <c r="C118" s="137">
        <f>'Power Purchases'!C202</f>
        <v>45701140</v>
      </c>
      <c r="D118" s="137">
        <f>'Power Purchases'!D202</f>
        <v>369150.47828124731</v>
      </c>
      <c r="E118" s="237">
        <f t="shared" si="12"/>
        <v>48893635.549778804</v>
      </c>
      <c r="F118" s="212">
        <f>[6]en_climate_daily_ON_6158731_201!$Q$245</f>
        <v>0.89999999999999991</v>
      </c>
      <c r="G118" s="212">
        <f>[6]en_climate_daily_ON_6158731_201!$S$245</f>
        <v>103.30000000000003</v>
      </c>
      <c r="H118" s="137">
        <v>31</v>
      </c>
      <c r="I118" s="137">
        <v>0</v>
      </c>
      <c r="J118" s="137">
        <v>336</v>
      </c>
      <c r="K118" s="137">
        <v>0</v>
      </c>
      <c r="L118" s="137">
        <v>1</v>
      </c>
      <c r="M118" s="137">
        <f>CDM!B189</f>
        <v>2823345.0714975563</v>
      </c>
      <c r="N118" s="166">
        <f>+(N122-N110)/12+N117</f>
        <v>27672.666666666657</v>
      </c>
      <c r="S118" s="76">
        <f t="shared" si="14"/>
        <v>48374675.961591609</v>
      </c>
      <c r="T118" s="74">
        <f t="shared" si="13"/>
        <v>-1.0614051958947511E-2</v>
      </c>
      <c r="U118" s="136"/>
      <c r="AO118" s="137"/>
      <c r="AP118" s="134"/>
      <c r="AQ118" s="137"/>
      <c r="AR118" s="137"/>
      <c r="AS118" s="137"/>
      <c r="AT118" s="32"/>
    </row>
    <row r="119" spans="1:46" x14ac:dyDescent="0.25">
      <c r="A119" s="75">
        <v>43709</v>
      </c>
      <c r="B119" s="142">
        <f t="shared" si="11"/>
        <v>2019</v>
      </c>
      <c r="C119" s="137">
        <f>'Power Purchases'!C203</f>
        <v>39646160</v>
      </c>
      <c r="D119" s="137">
        <f>'Power Purchases'!D203</f>
        <v>329892.40488908021</v>
      </c>
      <c r="E119" s="237">
        <f t="shared" si="12"/>
        <v>42803102.718496114</v>
      </c>
      <c r="F119" s="212">
        <f>[6]en_climate_daily_ON_6158731_201!$Q$275</f>
        <v>38.400000000000006</v>
      </c>
      <c r="G119" s="212">
        <f>[6]en_climate_daily_ON_6158731_201!$S$275</f>
        <v>25.400000000000002</v>
      </c>
      <c r="H119" s="137">
        <v>30</v>
      </c>
      <c r="I119" s="137">
        <v>0</v>
      </c>
      <c r="J119" s="137">
        <v>320</v>
      </c>
      <c r="K119" s="137">
        <v>1</v>
      </c>
      <c r="L119" s="137">
        <v>1</v>
      </c>
      <c r="M119" s="137">
        <f>CDM!B190</f>
        <v>2827050.313607038</v>
      </c>
      <c r="N119" s="166">
        <f>+(N122-N110)/12+N118</f>
        <v>27684.249999999989</v>
      </c>
      <c r="S119" s="76">
        <f t="shared" si="14"/>
        <v>41391466.393520616</v>
      </c>
      <c r="T119" s="74">
        <f t="shared" si="13"/>
        <v>-3.2979766309452624E-2</v>
      </c>
      <c r="U119" s="136"/>
      <c r="AO119" s="137"/>
      <c r="AP119" s="134"/>
      <c r="AQ119" s="137"/>
      <c r="AR119" s="137"/>
      <c r="AS119" s="137"/>
      <c r="AT119" s="32"/>
    </row>
    <row r="120" spans="1:46" x14ac:dyDescent="0.25">
      <c r="A120" s="75">
        <v>43739</v>
      </c>
      <c r="B120" s="142">
        <f t="shared" si="11"/>
        <v>2019</v>
      </c>
      <c r="C120" s="137">
        <f>'Power Purchases'!C204</f>
        <v>39458460</v>
      </c>
      <c r="D120" s="137">
        <f>'Power Purchases'!D204</f>
        <v>309154.27689847501</v>
      </c>
      <c r="E120" s="237">
        <f t="shared" si="12"/>
        <v>42598369.832614996</v>
      </c>
      <c r="F120" s="212">
        <f>[6]en_climate_daily_ON_6158731_201!$Q$306</f>
        <v>236.5</v>
      </c>
      <c r="G120" s="212">
        <f>[6]en_climate_daily_ON_6158731_201!$S$306</f>
        <v>5.0999999999999996</v>
      </c>
      <c r="H120" s="137">
        <v>31</v>
      </c>
      <c r="I120" s="137">
        <v>0</v>
      </c>
      <c r="J120" s="137">
        <v>352</v>
      </c>
      <c r="K120" s="137">
        <v>1</v>
      </c>
      <c r="L120" s="137">
        <v>1</v>
      </c>
      <c r="M120" s="137">
        <f>CDM!B191</f>
        <v>2830755.5557165197</v>
      </c>
      <c r="N120" s="166">
        <f>+(N122-N110)/12+N119</f>
        <v>27695.833333333321</v>
      </c>
      <c r="S120" s="76">
        <f t="shared" si="14"/>
        <v>43510932.902847186</v>
      </c>
      <c r="T120" s="74">
        <f t="shared" si="13"/>
        <v>2.1422488086234131E-2</v>
      </c>
      <c r="U120" s="136"/>
      <c r="AO120" s="137"/>
      <c r="AP120" s="134"/>
      <c r="AQ120" s="137"/>
      <c r="AR120" s="137"/>
      <c r="AS120" s="137"/>
      <c r="AT120" s="32"/>
    </row>
    <row r="121" spans="1:46" x14ac:dyDescent="0.25">
      <c r="A121" s="75">
        <v>43770</v>
      </c>
      <c r="B121" s="142">
        <f t="shared" si="11"/>
        <v>2019</v>
      </c>
      <c r="C121" s="137">
        <f>'Power Purchases'!C205</f>
        <v>42531519.999999993</v>
      </c>
      <c r="D121" s="137">
        <f>'Power Purchases'!D205</f>
        <v>280826.71019199881</v>
      </c>
      <c r="E121" s="237">
        <f t="shared" si="12"/>
        <v>45646807.508017994</v>
      </c>
      <c r="F121" s="212">
        <f>[6]en_climate_daily_ON_6158731_201!$Q$336</f>
        <v>513.30000000000007</v>
      </c>
      <c r="G121" s="212">
        <f>[6]en_climate_daily_ON_6158731_201!$S$336</f>
        <v>0</v>
      </c>
      <c r="H121" s="137">
        <v>30</v>
      </c>
      <c r="I121" s="137">
        <v>0</v>
      </c>
      <c r="J121" s="137">
        <v>320</v>
      </c>
      <c r="K121" s="137">
        <v>1</v>
      </c>
      <c r="L121" s="137">
        <v>1</v>
      </c>
      <c r="M121" s="137">
        <f>CDM!B192</f>
        <v>2834460.7978260014</v>
      </c>
      <c r="N121" s="166">
        <f>+(N122-N110)/12+N120</f>
        <v>27707.416666666653</v>
      </c>
      <c r="S121" s="76">
        <f t="shared" si="14"/>
        <v>44395307.976294063</v>
      </c>
      <c r="T121" s="74">
        <f t="shared" si="13"/>
        <v>-2.7417022132470093E-2</v>
      </c>
      <c r="U121" s="136"/>
      <c r="AO121" s="137"/>
      <c r="AP121" s="134"/>
      <c r="AQ121" s="137"/>
      <c r="AR121" s="137"/>
      <c r="AS121" s="137"/>
      <c r="AT121" s="32"/>
    </row>
    <row r="122" spans="1:46" x14ac:dyDescent="0.25">
      <c r="A122" s="75">
        <v>43800</v>
      </c>
      <c r="B122" s="142">
        <f t="shared" si="11"/>
        <v>2019</v>
      </c>
      <c r="C122" s="137">
        <f>'Power Purchases'!C206</f>
        <v>44650100</v>
      </c>
      <c r="D122" s="137">
        <f>'Power Purchases'!D206</f>
        <v>290037.12809251581</v>
      </c>
      <c r="E122" s="237">
        <f t="shared" si="12"/>
        <v>47778303.168027997</v>
      </c>
      <c r="F122" s="212">
        <f>[6]en_climate_daily_ON_6158731_201!$Q$367</f>
        <v>582.4</v>
      </c>
      <c r="G122" s="212">
        <f>[6]en_climate_daily_ON_6158731_201!$S$367</f>
        <v>0</v>
      </c>
      <c r="H122" s="137">
        <v>31</v>
      </c>
      <c r="I122" s="137">
        <v>0</v>
      </c>
      <c r="J122" s="137">
        <v>320</v>
      </c>
      <c r="K122" s="137">
        <v>0</v>
      </c>
      <c r="L122" s="137">
        <v>1</v>
      </c>
      <c r="M122" s="137">
        <f>CDM!B193</f>
        <v>2838166.0399354831</v>
      </c>
      <c r="N122" s="166">
        <f>'Rate Class Customer Model'!I12</f>
        <v>27719</v>
      </c>
      <c r="S122" s="76">
        <f t="shared" si="14"/>
        <v>46737678.954585165</v>
      </c>
      <c r="T122" s="74">
        <f t="shared" si="13"/>
        <v>-2.1780267285406465E-2</v>
      </c>
      <c r="U122" s="136"/>
      <c r="AO122" s="137"/>
      <c r="AP122" s="134"/>
      <c r="AQ122" s="137"/>
      <c r="AR122" s="137"/>
      <c r="AS122" s="137"/>
      <c r="AT122" s="32"/>
    </row>
    <row r="123" spans="1:46" x14ac:dyDescent="0.25">
      <c r="A123" s="75">
        <v>43831</v>
      </c>
      <c r="B123" s="142">
        <f t="shared" si="11"/>
        <v>2020</v>
      </c>
      <c r="C123" s="137"/>
      <c r="D123" s="137"/>
      <c r="E123" s="137"/>
      <c r="F123" s="212">
        <f>(F3+F15+F27+F39+F51+F63+F75+F87+F99+F111)/10</f>
        <v>712.52</v>
      </c>
      <c r="G123" s="212">
        <f>(G3+G15+G27+G39+G51+G63+G75+G87+G99+G111)/10</f>
        <v>0</v>
      </c>
      <c r="H123" s="137">
        <v>31</v>
      </c>
      <c r="I123" s="137">
        <v>0</v>
      </c>
      <c r="J123" s="137">
        <v>352</v>
      </c>
      <c r="K123" s="137">
        <v>0</v>
      </c>
      <c r="L123" s="137">
        <v>1</v>
      </c>
      <c r="M123" s="137">
        <f>CDM!B194</f>
        <v>2835965.5145607935</v>
      </c>
      <c r="S123" s="76">
        <f t="shared" si="14"/>
        <v>48604475.469032474</v>
      </c>
      <c r="T123" s="37"/>
      <c r="U123" s="136"/>
      <c r="AO123" s="137"/>
      <c r="AP123" s="134"/>
      <c r="AQ123" s="137"/>
      <c r="AR123" s="137"/>
      <c r="AS123" s="137"/>
      <c r="AT123" s="32"/>
    </row>
    <row r="124" spans="1:46" x14ac:dyDescent="0.25">
      <c r="A124" s="75">
        <v>43862</v>
      </c>
      <c r="B124" s="142">
        <f t="shared" si="11"/>
        <v>2020</v>
      </c>
      <c r="E124" s="137"/>
      <c r="F124" s="212">
        <f t="shared" ref="F124:G134" si="15">(F4+F16+F28+F40+F52+F64+F76+F88+F100+F112)/10</f>
        <v>628.50999999999988</v>
      </c>
      <c r="G124" s="212">
        <f t="shared" si="15"/>
        <v>0</v>
      </c>
      <c r="H124" s="137">
        <v>29</v>
      </c>
      <c r="I124" s="137">
        <v>0</v>
      </c>
      <c r="J124" s="137">
        <v>304</v>
      </c>
      <c r="K124" s="137">
        <v>0</v>
      </c>
      <c r="L124" s="137">
        <v>1</v>
      </c>
      <c r="M124" s="137">
        <f>CDM!B195</f>
        <v>2833764.9891861039</v>
      </c>
      <c r="S124" s="76">
        <f t="shared" si="14"/>
        <v>44952140.171737872</v>
      </c>
      <c r="T124" s="37"/>
      <c r="U124" s="136"/>
      <c r="AO124" s="137"/>
      <c r="AP124" s="134"/>
      <c r="AQ124" s="137"/>
      <c r="AR124" s="137"/>
      <c r="AS124" s="137"/>
      <c r="AT124" s="32"/>
    </row>
    <row r="125" spans="1:46" x14ac:dyDescent="0.25">
      <c r="A125" s="75">
        <v>43891</v>
      </c>
      <c r="B125" s="142">
        <f t="shared" si="11"/>
        <v>2020</v>
      </c>
      <c r="E125" s="137"/>
      <c r="F125" s="212">
        <f t="shared" si="15"/>
        <v>540.39</v>
      </c>
      <c r="G125" s="212">
        <f t="shared" si="15"/>
        <v>0.02</v>
      </c>
      <c r="H125" s="137">
        <v>31</v>
      </c>
      <c r="I125" s="137">
        <v>1</v>
      </c>
      <c r="J125" s="137">
        <v>352</v>
      </c>
      <c r="K125" s="137">
        <v>0</v>
      </c>
      <c r="L125" s="137">
        <v>1</v>
      </c>
      <c r="M125" s="137">
        <f>CDM!B196</f>
        <v>2831564.4638114143</v>
      </c>
      <c r="S125" s="76">
        <f t="shared" si="14"/>
        <v>45099344.740079179</v>
      </c>
      <c r="T125" s="37"/>
      <c r="U125" s="136"/>
      <c r="AO125" s="137"/>
      <c r="AP125" s="134"/>
      <c r="AQ125" s="137"/>
      <c r="AR125" s="137"/>
      <c r="AS125" s="137"/>
      <c r="AT125" s="32"/>
    </row>
    <row r="126" spans="1:46" x14ac:dyDescent="0.25">
      <c r="A126" s="75">
        <v>43922</v>
      </c>
      <c r="B126" s="142">
        <f t="shared" si="11"/>
        <v>2020</v>
      </c>
      <c r="E126" s="137"/>
      <c r="F126" s="212">
        <f t="shared" si="15"/>
        <v>334.46000000000004</v>
      </c>
      <c r="G126" s="212">
        <f t="shared" si="15"/>
        <v>0</v>
      </c>
      <c r="H126" s="137">
        <v>30</v>
      </c>
      <c r="I126" s="137">
        <v>1</v>
      </c>
      <c r="J126" s="137">
        <v>336</v>
      </c>
      <c r="K126" s="137">
        <v>0</v>
      </c>
      <c r="L126" s="137">
        <v>1</v>
      </c>
      <c r="M126" s="137">
        <f>CDM!B197</f>
        <v>2829363.9384367247</v>
      </c>
      <c r="S126" s="76">
        <f t="shared" si="14"/>
        <v>41762958.312801465</v>
      </c>
      <c r="T126" s="37"/>
      <c r="U126" s="136"/>
      <c r="V126" s="111"/>
      <c r="W126" s="111"/>
      <c r="X126" s="111"/>
      <c r="Y126" s="111"/>
      <c r="Z126" s="111"/>
      <c r="AO126" s="137"/>
      <c r="AP126" s="134"/>
      <c r="AQ126" s="137"/>
      <c r="AR126" s="137"/>
      <c r="AS126" s="137"/>
      <c r="AT126" s="32"/>
    </row>
    <row r="127" spans="1:46" x14ac:dyDescent="0.25">
      <c r="A127" s="75">
        <v>43952</v>
      </c>
      <c r="B127" s="142">
        <f t="shared" si="11"/>
        <v>2020</v>
      </c>
      <c r="E127" s="137"/>
      <c r="F127" s="212">
        <f t="shared" si="15"/>
        <v>122.9</v>
      </c>
      <c r="G127" s="212">
        <f t="shared" si="15"/>
        <v>25.380000000000003</v>
      </c>
      <c r="H127" s="137">
        <v>31</v>
      </c>
      <c r="I127" s="137">
        <v>1</v>
      </c>
      <c r="J127" s="137">
        <v>320</v>
      </c>
      <c r="K127" s="137">
        <v>0</v>
      </c>
      <c r="L127" s="137">
        <v>1</v>
      </c>
      <c r="M127" s="137">
        <f>CDM!B198</f>
        <v>2827163.4130620351</v>
      </c>
      <c r="S127" s="76">
        <f t="shared" si="14"/>
        <v>42111690.969807379</v>
      </c>
      <c r="T127" s="37"/>
      <c r="U127" s="136"/>
      <c r="V127" s="111"/>
      <c r="AO127" s="137"/>
      <c r="AP127" s="134"/>
      <c r="AQ127" s="137"/>
      <c r="AR127" s="137"/>
      <c r="AS127" s="137"/>
      <c r="AT127" s="32"/>
    </row>
    <row r="128" spans="1:46" x14ac:dyDescent="0.25">
      <c r="A128" s="75">
        <v>43983</v>
      </c>
      <c r="B128" s="142">
        <f t="shared" si="11"/>
        <v>2020</v>
      </c>
      <c r="E128" s="137"/>
      <c r="F128" s="212">
        <f t="shared" si="15"/>
        <v>24.6</v>
      </c>
      <c r="G128" s="212">
        <f t="shared" si="15"/>
        <v>62.620000000000005</v>
      </c>
      <c r="H128" s="137">
        <v>30</v>
      </c>
      <c r="I128" s="137">
        <v>0</v>
      </c>
      <c r="J128" s="137">
        <v>352</v>
      </c>
      <c r="K128" s="137">
        <v>0</v>
      </c>
      <c r="L128" s="137">
        <v>1</v>
      </c>
      <c r="M128" s="137">
        <f>CDM!B199</f>
        <v>2824962.8876873455</v>
      </c>
      <c r="S128" s="76">
        <f t="shared" si="14"/>
        <v>45069655.203369625</v>
      </c>
      <c r="T128" s="37"/>
      <c r="U128" s="136"/>
      <c r="V128" s="111"/>
      <c r="AO128" s="137"/>
      <c r="AP128" s="134"/>
      <c r="AQ128" s="137"/>
      <c r="AR128" s="137"/>
      <c r="AS128" s="137"/>
      <c r="AT128" s="32"/>
    </row>
    <row r="129" spans="1:46" x14ac:dyDescent="0.25">
      <c r="A129" s="75">
        <v>44013</v>
      </c>
      <c r="B129" s="142">
        <f t="shared" si="11"/>
        <v>2020</v>
      </c>
      <c r="E129" s="137"/>
      <c r="F129" s="212">
        <f t="shared" si="15"/>
        <v>1.1099999999999999</v>
      </c>
      <c r="G129" s="212">
        <f t="shared" si="15"/>
        <v>149.29999999999998</v>
      </c>
      <c r="H129" s="137">
        <v>31</v>
      </c>
      <c r="I129" s="137">
        <v>0</v>
      </c>
      <c r="J129" s="137">
        <v>352</v>
      </c>
      <c r="K129" s="137">
        <v>0</v>
      </c>
      <c r="L129" s="137">
        <v>1</v>
      </c>
      <c r="M129" s="137">
        <f>CDM!B200</f>
        <v>2822762.3623126559</v>
      </c>
      <c r="S129" s="76">
        <f t="shared" si="14"/>
        <v>51864513.059867658</v>
      </c>
      <c r="T129" s="37"/>
      <c r="U129" s="136"/>
      <c r="V129" s="111"/>
      <c r="AO129" s="137"/>
      <c r="AP129" s="134"/>
      <c r="AQ129" s="137"/>
      <c r="AR129" s="137"/>
      <c r="AS129" s="137"/>
      <c r="AT129" s="32"/>
    </row>
    <row r="130" spans="1:46" x14ac:dyDescent="0.25">
      <c r="A130" s="75">
        <v>44044</v>
      </c>
      <c r="B130" s="142">
        <f t="shared" si="11"/>
        <v>2020</v>
      </c>
      <c r="E130" s="137"/>
      <c r="F130" s="212">
        <f t="shared" si="15"/>
        <v>3.5400000000000005</v>
      </c>
      <c r="G130" s="212">
        <f t="shared" si="15"/>
        <v>117.36000000000001</v>
      </c>
      <c r="H130" s="137">
        <v>31</v>
      </c>
      <c r="I130" s="137">
        <v>0</v>
      </c>
      <c r="J130" s="137">
        <v>320</v>
      </c>
      <c r="K130" s="137">
        <v>0</v>
      </c>
      <c r="L130" s="137">
        <v>1</v>
      </c>
      <c r="M130" s="137">
        <f>CDM!B201</f>
        <v>2820561.8369379663</v>
      </c>
      <c r="S130" s="76">
        <f t="shared" si="14"/>
        <v>49102762.693727225</v>
      </c>
      <c r="T130" s="37"/>
      <c r="U130" s="136"/>
      <c r="V130" s="111"/>
      <c r="AO130" s="137"/>
      <c r="AP130" s="134"/>
      <c r="AQ130" s="137"/>
      <c r="AR130" s="137"/>
      <c r="AS130" s="137"/>
      <c r="AT130" s="32"/>
    </row>
    <row r="131" spans="1:46" x14ac:dyDescent="0.25">
      <c r="A131" s="75">
        <v>44075</v>
      </c>
      <c r="B131" s="142">
        <f t="shared" si="11"/>
        <v>2020</v>
      </c>
      <c r="E131" s="137"/>
      <c r="F131" s="212">
        <f t="shared" si="15"/>
        <v>54.989999999999995</v>
      </c>
      <c r="G131" s="212">
        <f t="shared" si="15"/>
        <v>48.959999999999994</v>
      </c>
      <c r="H131" s="137">
        <v>30</v>
      </c>
      <c r="I131" s="137">
        <v>0</v>
      </c>
      <c r="J131" s="137">
        <v>336</v>
      </c>
      <c r="K131" s="137">
        <v>1</v>
      </c>
      <c r="L131" s="137">
        <v>1</v>
      </c>
      <c r="M131" s="137">
        <f>CDM!B202</f>
        <v>2818361.3115632767</v>
      </c>
      <c r="S131" s="76">
        <f t="shared" ref="S131:S146" si="16">+$W$19+F131*$W$20+G131*$W$21+H131*$W$22+I131*$W$23+J131*$W$24+K131*$W$25+L131*$W$26+M131*$W$27</f>
        <v>43480798.629662931</v>
      </c>
      <c r="T131" s="37"/>
      <c r="U131" s="136"/>
      <c r="V131" s="111"/>
      <c r="AO131" s="137"/>
      <c r="AP131" s="134"/>
      <c r="AQ131" s="137"/>
      <c r="AR131" s="137"/>
      <c r="AS131" s="137"/>
      <c r="AT131" s="32"/>
    </row>
    <row r="132" spans="1:46" x14ac:dyDescent="0.25">
      <c r="A132" s="75">
        <v>44105</v>
      </c>
      <c r="B132" s="142">
        <f t="shared" ref="B132:B146" si="17">YEAR(A132)</f>
        <v>2020</v>
      </c>
      <c r="E132" s="137"/>
      <c r="F132" s="212">
        <f t="shared" si="15"/>
        <v>227.63000000000002</v>
      </c>
      <c r="G132" s="212">
        <f t="shared" si="15"/>
        <v>3.0699999999999994</v>
      </c>
      <c r="H132" s="137">
        <v>31</v>
      </c>
      <c r="I132" s="137">
        <v>0</v>
      </c>
      <c r="J132" s="137">
        <v>336</v>
      </c>
      <c r="K132" s="137">
        <v>1</v>
      </c>
      <c r="L132" s="137">
        <v>1</v>
      </c>
      <c r="M132" s="137">
        <f>CDM!B203</f>
        <v>2816160.7861885871</v>
      </c>
      <c r="S132" s="76">
        <f t="shared" si="16"/>
        <v>43000977.91369196</v>
      </c>
      <c r="T132" s="37"/>
      <c r="U132" s="136"/>
      <c r="V132" s="111"/>
      <c r="AO132" s="137"/>
      <c r="AP132" s="134"/>
      <c r="AQ132" s="137"/>
      <c r="AR132" s="137"/>
      <c r="AS132" s="137"/>
      <c r="AT132" s="32"/>
    </row>
    <row r="133" spans="1:46" x14ac:dyDescent="0.25">
      <c r="A133" s="75">
        <v>44136</v>
      </c>
      <c r="B133" s="142">
        <f t="shared" si="17"/>
        <v>2020</v>
      </c>
      <c r="E133" s="137"/>
      <c r="F133" s="212">
        <f t="shared" si="15"/>
        <v>424.59</v>
      </c>
      <c r="G133" s="212">
        <f t="shared" si="15"/>
        <v>0</v>
      </c>
      <c r="H133" s="137">
        <v>30</v>
      </c>
      <c r="I133" s="137">
        <v>0</v>
      </c>
      <c r="J133" s="137">
        <v>336</v>
      </c>
      <c r="K133" s="137">
        <v>1</v>
      </c>
      <c r="L133" s="137">
        <v>1</v>
      </c>
      <c r="M133" s="137">
        <f>CDM!B204</f>
        <v>2813960.2608138975</v>
      </c>
      <c r="S133" s="76">
        <f t="shared" si="16"/>
        <v>43782417.498853974</v>
      </c>
      <c r="T133" s="37"/>
      <c r="U133" s="136"/>
      <c r="V133" s="111"/>
      <c r="AO133" s="137"/>
      <c r="AP133" s="134"/>
      <c r="AQ133" s="137"/>
      <c r="AR133" s="137"/>
      <c r="AS133" s="137"/>
      <c r="AT133" s="32"/>
    </row>
    <row r="134" spans="1:46" x14ac:dyDescent="0.25">
      <c r="A134" s="75">
        <v>44166</v>
      </c>
      <c r="B134" s="142">
        <f t="shared" si="17"/>
        <v>2020</v>
      </c>
      <c r="E134" s="137"/>
      <c r="F134" s="212">
        <f t="shared" si="15"/>
        <v>589.1099999999999</v>
      </c>
      <c r="G134" s="212">
        <f t="shared" si="15"/>
        <v>0</v>
      </c>
      <c r="H134" s="137">
        <v>31</v>
      </c>
      <c r="I134" s="137">
        <v>0</v>
      </c>
      <c r="J134" s="137">
        <v>352</v>
      </c>
      <c r="K134" s="137">
        <v>0</v>
      </c>
      <c r="L134" s="137">
        <v>1</v>
      </c>
      <c r="M134" s="137">
        <f>CDM!B205</f>
        <v>2811759.7354392079</v>
      </c>
      <c r="S134" s="76">
        <f t="shared" si="16"/>
        <v>47363482.47465872</v>
      </c>
      <c r="T134" s="37"/>
      <c r="U134" s="136"/>
      <c r="V134" s="111"/>
      <c r="AO134" s="137"/>
      <c r="AP134" s="134"/>
      <c r="AQ134" s="137"/>
      <c r="AR134" s="137"/>
      <c r="AS134" s="137"/>
      <c r="AT134" s="32"/>
    </row>
    <row r="135" spans="1:46" x14ac:dyDescent="0.25">
      <c r="A135" s="75">
        <v>44197</v>
      </c>
      <c r="B135" s="142">
        <f t="shared" si="17"/>
        <v>2021</v>
      </c>
      <c r="E135" s="137"/>
      <c r="F135" s="212">
        <f>F123</f>
        <v>712.52</v>
      </c>
      <c r="G135" s="212">
        <f>G123</f>
        <v>0</v>
      </c>
      <c r="H135" s="137">
        <v>31</v>
      </c>
      <c r="I135" s="137">
        <v>0</v>
      </c>
      <c r="J135" s="137">
        <v>320</v>
      </c>
      <c r="K135" s="137">
        <v>0</v>
      </c>
      <c r="L135" s="137">
        <v>1</v>
      </c>
      <c r="M135" s="137">
        <f>CDM!B206</f>
        <v>2814573.4940895862</v>
      </c>
      <c r="S135" s="76">
        <f t="shared" si="16"/>
        <v>48046146.732138947</v>
      </c>
      <c r="T135" s="37"/>
      <c r="U135" s="136"/>
      <c r="V135" s="111"/>
      <c r="AO135" s="137"/>
      <c r="AP135" s="134"/>
      <c r="AQ135" s="137"/>
      <c r="AR135" s="137"/>
      <c r="AS135" s="137"/>
      <c r="AT135" s="32"/>
    </row>
    <row r="136" spans="1:46" x14ac:dyDescent="0.25">
      <c r="A136" s="75">
        <v>44228</v>
      </c>
      <c r="B136" s="142">
        <f t="shared" si="17"/>
        <v>2021</v>
      </c>
      <c r="E136" s="137"/>
      <c r="F136" s="212">
        <f t="shared" ref="F136:G146" si="18">F124</f>
        <v>628.50999999999988</v>
      </c>
      <c r="G136" s="212">
        <f t="shared" si="18"/>
        <v>0</v>
      </c>
      <c r="H136" s="137">
        <v>28</v>
      </c>
      <c r="I136" s="137">
        <v>0</v>
      </c>
      <c r="J136" s="137">
        <v>304</v>
      </c>
      <c r="K136" s="137">
        <v>0</v>
      </c>
      <c r="L136" s="137">
        <v>1</v>
      </c>
      <c r="M136" s="137">
        <f>CDM!B207</f>
        <v>2817387.2527399645</v>
      </c>
      <c r="S136" s="76">
        <f t="shared" si="16"/>
        <v>43967115.2408095</v>
      </c>
      <c r="T136" s="37"/>
      <c r="U136" s="136"/>
      <c r="V136" s="111"/>
      <c r="AO136" s="137"/>
      <c r="AP136" s="134"/>
      <c r="AQ136" s="137"/>
      <c r="AR136" s="137"/>
      <c r="AS136" s="137"/>
      <c r="AT136" s="32"/>
    </row>
    <row r="137" spans="1:46" x14ac:dyDescent="0.25">
      <c r="A137" s="75">
        <v>44256</v>
      </c>
      <c r="B137" s="142">
        <f t="shared" si="17"/>
        <v>2021</v>
      </c>
      <c r="E137" s="137"/>
      <c r="F137" s="212">
        <f t="shared" si="18"/>
        <v>540.39</v>
      </c>
      <c r="G137" s="212">
        <f t="shared" si="18"/>
        <v>0.02</v>
      </c>
      <c r="H137" s="137">
        <v>31</v>
      </c>
      <c r="I137" s="137">
        <v>1</v>
      </c>
      <c r="J137" s="137">
        <v>368</v>
      </c>
      <c r="K137" s="137">
        <v>0</v>
      </c>
      <c r="L137" s="137">
        <v>1</v>
      </c>
      <c r="M137" s="137">
        <f>CDM!B208</f>
        <v>2820201.0113903428</v>
      </c>
      <c r="S137" s="76">
        <f t="shared" si="16"/>
        <v>45378509.108525939</v>
      </c>
      <c r="T137" s="37"/>
      <c r="U137" s="136"/>
      <c r="V137" s="111"/>
      <c r="AO137" s="137"/>
      <c r="AP137" s="134"/>
      <c r="AQ137" s="137"/>
      <c r="AR137" s="137"/>
      <c r="AS137" s="137"/>
      <c r="AT137" s="32"/>
    </row>
    <row r="138" spans="1:46" x14ac:dyDescent="0.25">
      <c r="A138" s="75">
        <v>44287</v>
      </c>
      <c r="B138" s="142">
        <f t="shared" si="17"/>
        <v>2021</v>
      </c>
      <c r="E138" s="137"/>
      <c r="F138" s="212">
        <f t="shared" si="18"/>
        <v>334.46000000000004</v>
      </c>
      <c r="G138" s="212">
        <f t="shared" si="18"/>
        <v>0</v>
      </c>
      <c r="H138" s="137">
        <v>30</v>
      </c>
      <c r="I138" s="137">
        <v>1</v>
      </c>
      <c r="J138" s="137">
        <v>336</v>
      </c>
      <c r="K138" s="137">
        <v>0</v>
      </c>
      <c r="L138" s="137">
        <v>1</v>
      </c>
      <c r="M138" s="137">
        <f>CDM!B209</f>
        <v>2823014.7700407212</v>
      </c>
      <c r="S138" s="76">
        <f t="shared" si="16"/>
        <v>41762958.312801465</v>
      </c>
      <c r="T138" s="37"/>
      <c r="U138" s="136"/>
      <c r="V138" s="111"/>
      <c r="AO138" s="137"/>
      <c r="AP138" s="134"/>
      <c r="AQ138" s="137"/>
      <c r="AR138" s="137"/>
      <c r="AS138" s="137"/>
      <c r="AT138" s="32"/>
    </row>
    <row r="139" spans="1:46" x14ac:dyDescent="0.25">
      <c r="A139" s="75">
        <v>44317</v>
      </c>
      <c r="B139" s="142">
        <f t="shared" si="17"/>
        <v>2021</v>
      </c>
      <c r="E139" s="137"/>
      <c r="F139" s="212">
        <f t="shared" si="18"/>
        <v>122.9</v>
      </c>
      <c r="G139" s="212">
        <f t="shared" si="18"/>
        <v>25.380000000000003</v>
      </c>
      <c r="H139" s="137">
        <v>31</v>
      </c>
      <c r="I139" s="137">
        <v>1</v>
      </c>
      <c r="J139" s="137">
        <v>320</v>
      </c>
      <c r="K139" s="137">
        <v>0</v>
      </c>
      <c r="L139" s="137">
        <v>1</v>
      </c>
      <c r="M139" s="137">
        <f>CDM!B210</f>
        <v>2825828.5286910995</v>
      </c>
      <c r="S139" s="76">
        <f t="shared" si="16"/>
        <v>42111690.969807379</v>
      </c>
      <c r="T139" s="37"/>
      <c r="U139" s="136"/>
      <c r="V139" s="111"/>
      <c r="AO139" s="137"/>
      <c r="AP139" s="134"/>
      <c r="AQ139" s="137"/>
      <c r="AR139" s="137"/>
      <c r="AS139" s="137"/>
      <c r="AT139" s="32"/>
    </row>
    <row r="140" spans="1:46" x14ac:dyDescent="0.25">
      <c r="A140" s="75">
        <v>44348</v>
      </c>
      <c r="B140" s="142">
        <f t="shared" si="17"/>
        <v>2021</v>
      </c>
      <c r="E140" s="137"/>
      <c r="F140" s="212">
        <f t="shared" si="18"/>
        <v>24.6</v>
      </c>
      <c r="G140" s="212">
        <f t="shared" si="18"/>
        <v>62.620000000000005</v>
      </c>
      <c r="H140" s="137">
        <v>30</v>
      </c>
      <c r="I140" s="137">
        <v>0</v>
      </c>
      <c r="J140" s="137">
        <v>352</v>
      </c>
      <c r="K140" s="137">
        <v>0</v>
      </c>
      <c r="L140" s="137">
        <v>1</v>
      </c>
      <c r="M140" s="137">
        <f>CDM!B211</f>
        <v>2828642.2873414778</v>
      </c>
      <c r="S140" s="76">
        <f t="shared" si="16"/>
        <v>45069655.203369625</v>
      </c>
      <c r="T140" s="37"/>
      <c r="U140" s="136"/>
      <c r="V140" s="111"/>
      <c r="AO140" s="137"/>
      <c r="AP140" s="134"/>
      <c r="AQ140" s="137"/>
      <c r="AR140" s="137"/>
      <c r="AS140" s="137"/>
      <c r="AT140" s="32"/>
    </row>
    <row r="141" spans="1:46" x14ac:dyDescent="0.25">
      <c r="A141" s="75">
        <v>44378</v>
      </c>
      <c r="B141" s="142">
        <f t="shared" si="17"/>
        <v>2021</v>
      </c>
      <c r="E141" s="137"/>
      <c r="F141" s="212">
        <f t="shared" si="18"/>
        <v>1.1099999999999999</v>
      </c>
      <c r="G141" s="212">
        <f t="shared" si="18"/>
        <v>149.29999999999998</v>
      </c>
      <c r="H141" s="137">
        <v>31</v>
      </c>
      <c r="I141" s="137">
        <v>0</v>
      </c>
      <c r="J141" s="137">
        <v>336</v>
      </c>
      <c r="K141" s="137">
        <v>0</v>
      </c>
      <c r="L141" s="137">
        <v>1</v>
      </c>
      <c r="M141" s="137">
        <f>CDM!B212</f>
        <v>2831456.0459918561</v>
      </c>
      <c r="S141" s="76">
        <f t="shared" si="16"/>
        <v>51585348.69142089</v>
      </c>
      <c r="T141" s="37"/>
      <c r="U141" s="136"/>
      <c r="V141" s="111"/>
      <c r="AO141" s="137"/>
      <c r="AP141" s="134"/>
      <c r="AQ141" s="137"/>
      <c r="AR141" s="137"/>
      <c r="AS141" s="137"/>
      <c r="AT141" s="32"/>
    </row>
    <row r="142" spans="1:46" x14ac:dyDescent="0.25">
      <c r="A142" s="75">
        <v>44409</v>
      </c>
      <c r="B142" s="142">
        <f t="shared" si="17"/>
        <v>2021</v>
      </c>
      <c r="E142" s="137"/>
      <c r="F142" s="212">
        <f t="shared" si="18"/>
        <v>3.5400000000000005</v>
      </c>
      <c r="G142" s="212">
        <f t="shared" si="18"/>
        <v>117.36000000000001</v>
      </c>
      <c r="H142" s="137">
        <v>31</v>
      </c>
      <c r="I142" s="137">
        <v>0</v>
      </c>
      <c r="J142" s="137">
        <v>336</v>
      </c>
      <c r="K142" s="137">
        <v>0</v>
      </c>
      <c r="L142" s="137">
        <v>1</v>
      </c>
      <c r="M142" s="137">
        <f>CDM!B213</f>
        <v>2834269.8046422345</v>
      </c>
      <c r="S142" s="76">
        <f t="shared" si="16"/>
        <v>49381927.062173985</v>
      </c>
      <c r="T142" s="37"/>
      <c r="U142" s="136"/>
      <c r="AO142" s="137"/>
      <c r="AP142" s="134"/>
      <c r="AQ142" s="137"/>
      <c r="AR142" s="137"/>
      <c r="AS142" s="137"/>
      <c r="AT142" s="32"/>
    </row>
    <row r="143" spans="1:46" x14ac:dyDescent="0.25">
      <c r="A143" s="75">
        <v>44440</v>
      </c>
      <c r="B143" s="142">
        <f t="shared" si="17"/>
        <v>2021</v>
      </c>
      <c r="E143" s="137"/>
      <c r="F143" s="212">
        <f t="shared" si="18"/>
        <v>54.989999999999995</v>
      </c>
      <c r="G143" s="212">
        <f t="shared" si="18"/>
        <v>48.959999999999994</v>
      </c>
      <c r="H143" s="137">
        <v>30</v>
      </c>
      <c r="I143" s="137">
        <v>0</v>
      </c>
      <c r="J143" s="137">
        <v>336</v>
      </c>
      <c r="K143" s="137">
        <v>1</v>
      </c>
      <c r="L143" s="137">
        <v>1</v>
      </c>
      <c r="M143" s="137">
        <f>CDM!B214</f>
        <v>2837083.5632926128</v>
      </c>
      <c r="S143" s="76">
        <f t="shared" si="16"/>
        <v>43480798.629662931</v>
      </c>
      <c r="T143" s="37"/>
      <c r="U143" s="136"/>
      <c r="AO143" s="137"/>
      <c r="AP143" s="134"/>
      <c r="AQ143" s="137"/>
      <c r="AR143" s="137"/>
      <c r="AS143" s="137"/>
      <c r="AT143" s="32"/>
    </row>
    <row r="144" spans="1:46" x14ac:dyDescent="0.25">
      <c r="A144" s="75">
        <v>44470</v>
      </c>
      <c r="B144" s="142">
        <f t="shared" si="17"/>
        <v>2021</v>
      </c>
      <c r="E144" s="137"/>
      <c r="F144" s="212">
        <f t="shared" si="18"/>
        <v>227.63000000000002</v>
      </c>
      <c r="G144" s="212">
        <f t="shared" si="18"/>
        <v>3.0699999999999994</v>
      </c>
      <c r="H144" s="137">
        <v>31</v>
      </c>
      <c r="I144" s="137">
        <v>0</v>
      </c>
      <c r="J144" s="137">
        <v>320</v>
      </c>
      <c r="K144" s="137">
        <v>1</v>
      </c>
      <c r="L144" s="137">
        <v>1</v>
      </c>
      <c r="M144" s="137">
        <f>CDM!B215</f>
        <v>2839897.3219429911</v>
      </c>
      <c r="S144" s="76">
        <f t="shared" si="16"/>
        <v>42721813.5452452</v>
      </c>
      <c r="T144" s="37"/>
      <c r="U144" s="136"/>
      <c r="AO144" s="137"/>
      <c r="AP144" s="134"/>
      <c r="AQ144" s="137"/>
      <c r="AR144" s="137"/>
      <c r="AS144" s="137"/>
      <c r="AT144" s="32"/>
    </row>
    <row r="145" spans="1:46" x14ac:dyDescent="0.25">
      <c r="A145" s="75">
        <v>44501</v>
      </c>
      <c r="B145" s="142">
        <f t="shared" si="17"/>
        <v>2021</v>
      </c>
      <c r="E145" s="137"/>
      <c r="F145" s="212">
        <f t="shared" si="18"/>
        <v>424.59</v>
      </c>
      <c r="G145" s="212">
        <f t="shared" si="18"/>
        <v>0</v>
      </c>
      <c r="H145" s="137">
        <v>30</v>
      </c>
      <c r="I145" s="137">
        <v>0</v>
      </c>
      <c r="J145" s="137">
        <v>352</v>
      </c>
      <c r="K145" s="137">
        <v>1</v>
      </c>
      <c r="L145" s="137">
        <v>1</v>
      </c>
      <c r="M145" s="137">
        <f>CDM!B216</f>
        <v>2842711.0805933694</v>
      </c>
      <c r="S145" s="76">
        <f t="shared" si="16"/>
        <v>44061581.867300741</v>
      </c>
      <c r="T145" s="37"/>
      <c r="U145" s="136"/>
      <c r="AO145" s="137"/>
      <c r="AP145" s="134"/>
      <c r="AQ145" s="137"/>
      <c r="AR145" s="137"/>
      <c r="AS145" s="137"/>
      <c r="AT145" s="32"/>
    </row>
    <row r="146" spans="1:46" x14ac:dyDescent="0.25">
      <c r="A146" s="75">
        <v>44531</v>
      </c>
      <c r="B146" s="142">
        <f t="shared" si="17"/>
        <v>2021</v>
      </c>
      <c r="E146" s="137"/>
      <c r="F146" s="212">
        <f t="shared" si="18"/>
        <v>589.1099999999999</v>
      </c>
      <c r="G146" s="212">
        <f t="shared" si="18"/>
        <v>0</v>
      </c>
      <c r="H146" s="137">
        <v>31</v>
      </c>
      <c r="I146" s="137">
        <v>0</v>
      </c>
      <c r="J146" s="137">
        <v>352</v>
      </c>
      <c r="K146" s="137">
        <v>0</v>
      </c>
      <c r="L146" s="137">
        <v>1</v>
      </c>
      <c r="M146" s="137">
        <f>CDM!B217</f>
        <v>2845524.8392437478</v>
      </c>
      <c r="S146" s="76">
        <f t="shared" si="16"/>
        <v>47363482.47465872</v>
      </c>
      <c r="T146" s="37"/>
      <c r="U146" s="136"/>
      <c r="AO146" s="137"/>
      <c r="AP146" s="134"/>
      <c r="AQ146" s="137"/>
      <c r="AR146" s="137"/>
      <c r="AS146" s="137"/>
      <c r="AT146" s="32"/>
    </row>
    <row r="147" spans="1:46" x14ac:dyDescent="0.25">
      <c r="A147" s="75"/>
      <c r="B147" s="75"/>
      <c r="E147" s="137"/>
      <c r="H147" s="137"/>
      <c r="I147" s="137"/>
      <c r="K147" s="137"/>
      <c r="L147" s="137"/>
      <c r="M147" s="137"/>
      <c r="S147" s="76">
        <f>SUM(S3:S146)</f>
        <v>6486557077.6260424</v>
      </c>
      <c r="T147" s="37"/>
      <c r="U147" s="136"/>
      <c r="AO147" s="137"/>
      <c r="AP147" s="134"/>
      <c r="AQ147" s="137"/>
      <c r="AR147" s="137"/>
      <c r="AS147" s="137"/>
      <c r="AT147" s="32"/>
    </row>
    <row r="148" spans="1:46" x14ac:dyDescent="0.25">
      <c r="A148" s="75"/>
      <c r="B148" s="75"/>
      <c r="S148" s="6"/>
      <c r="T148" s="37"/>
      <c r="U148" s="136"/>
      <c r="AO148" s="137"/>
      <c r="AP148" s="134"/>
      <c r="AQ148" s="137"/>
      <c r="AR148" s="137"/>
      <c r="AS148" s="137"/>
      <c r="AT148" s="32"/>
    </row>
    <row r="149" spans="1:46" x14ac:dyDescent="0.25">
      <c r="B149">
        <v>2010</v>
      </c>
      <c r="C149" s="6">
        <f>SUMIFS($C$3:$C$146,$B$3:$B$146,B149)</f>
        <v>520540576.92307693</v>
      </c>
      <c r="E149" s="6">
        <f t="shared" ref="E149:E158" ca="1" si="19">SUMIFS($E$3:$E$146,$B$3:$B$146,B149)-M149</f>
        <v>525707722.49012214</v>
      </c>
      <c r="M149" s="137">
        <f ca="1">OFFSET(CDM!$Q$19,0,ROW()-ROW($M$150))</f>
        <v>6299392.5</v>
      </c>
      <c r="S149" s="213">
        <f t="shared" ref="S149:S160" ca="1" si="20">SUMIFS($S$3:$S$146,$B$3:$B$146,B149)-M149</f>
        <v>524351932.95774496</v>
      </c>
      <c r="T149" s="37">
        <f ca="1">S149-E149</f>
        <v>-1355789.5323771834</v>
      </c>
      <c r="U149" s="228">
        <f ca="1">T149/E149</f>
        <v>-2.578979677063158E-3</v>
      </c>
      <c r="AO149" s="137"/>
      <c r="AP149" s="134"/>
      <c r="AQ149" s="137"/>
      <c r="AR149" s="137"/>
      <c r="AS149" s="137"/>
      <c r="AT149" s="32"/>
    </row>
    <row r="150" spans="1:46" x14ac:dyDescent="0.25">
      <c r="B150">
        <v>2011</v>
      </c>
      <c r="C150" s="6">
        <f t="shared" ref="C150:C158" si="21">SUMIFS($C$3:$C$146,$B$3:$B$146,B150)</f>
        <v>519240438.46153849</v>
      </c>
      <c r="E150" s="6">
        <f t="shared" ca="1" si="19"/>
        <v>524345059.91201699</v>
      </c>
      <c r="M150" s="137">
        <f ca="1">OFFSET(CDM!$Q$19,0,ROW()-ROW($M$150))</f>
        <v>7994318</v>
      </c>
      <c r="S150" s="213">
        <f t="shared" ca="1" si="20"/>
        <v>523599233.53104627</v>
      </c>
      <c r="T150" s="37">
        <f t="shared" ref="T150:T158" ca="1" si="22">S150-E150</f>
        <v>-745826.38097071648</v>
      </c>
      <c r="U150" s="228">
        <f t="shared" ref="U150:U158" ca="1" si="23">T150/E150</f>
        <v>-1.422396124216109E-3</v>
      </c>
      <c r="AO150" s="137"/>
      <c r="AP150" s="134"/>
      <c r="AQ150" s="137"/>
      <c r="AR150" s="137"/>
      <c r="AS150" s="137"/>
      <c r="AT150" s="32"/>
    </row>
    <row r="151" spans="1:46" x14ac:dyDescent="0.25">
      <c r="B151">
        <v>2012</v>
      </c>
      <c r="C151" s="6">
        <f t="shared" si="21"/>
        <v>512071040.55944055</v>
      </c>
      <c r="E151" s="6">
        <f t="shared" ca="1" si="19"/>
        <v>516879092.70569378</v>
      </c>
      <c r="M151" s="137">
        <f ca="1">OFFSET(CDM!$Q$19,0,ROW()-ROW($M$150))</f>
        <v>10070681</v>
      </c>
      <c r="S151" s="213">
        <f t="shared" ca="1" si="20"/>
        <v>521974135.96135008</v>
      </c>
      <c r="T151" s="37">
        <f t="shared" ca="1" si="22"/>
        <v>5095043.255656302</v>
      </c>
      <c r="U151" s="228">
        <f t="shared" ca="1" si="23"/>
        <v>9.8573212334540552E-3</v>
      </c>
      <c r="AO151" s="137"/>
      <c r="AP151" s="134"/>
      <c r="AQ151" s="137"/>
      <c r="AR151" s="137"/>
      <c r="AS151" s="137"/>
      <c r="AT151" s="32"/>
    </row>
    <row r="152" spans="1:46" x14ac:dyDescent="0.25">
      <c r="B152" s="17">
        <v>2013</v>
      </c>
      <c r="C152" s="6">
        <f t="shared" si="21"/>
        <v>518517966.66666669</v>
      </c>
      <c r="E152" s="6">
        <f t="shared" ca="1" si="19"/>
        <v>523382420.53817517</v>
      </c>
      <c r="M152" s="137">
        <f ca="1">OFFSET(CDM!$Q$19,0,ROW()-ROW($M$150))</f>
        <v>12267722.5</v>
      </c>
      <c r="S152" s="213">
        <f t="shared" ca="1" si="20"/>
        <v>518745461.96955585</v>
      </c>
      <c r="T152" s="37">
        <f t="shared" ca="1" si="22"/>
        <v>-4636958.5686193109</v>
      </c>
      <c r="U152" s="228">
        <f t="shared" ca="1" si="23"/>
        <v>-8.8595993802223893E-3</v>
      </c>
      <c r="AO152" s="137"/>
      <c r="AP152" s="134"/>
      <c r="AQ152" s="137"/>
      <c r="AR152" s="137"/>
      <c r="AS152" s="137"/>
      <c r="AT152" s="32"/>
    </row>
    <row r="153" spans="1:46" x14ac:dyDescent="0.25">
      <c r="B153">
        <v>2014</v>
      </c>
      <c r="C153" s="6">
        <f t="shared" si="21"/>
        <v>529499716.28205132</v>
      </c>
      <c r="E153" s="6">
        <f t="shared" ca="1" si="19"/>
        <v>534253964.71467674</v>
      </c>
      <c r="M153" s="137">
        <f ca="1">OFFSET(CDM!$Q$19,0,ROW()-ROW($M$150))</f>
        <v>14627412</v>
      </c>
      <c r="S153" s="213">
        <f t="shared" ca="1" si="20"/>
        <v>524494184.94489396</v>
      </c>
      <c r="T153" s="37">
        <f t="shared" ca="1" si="22"/>
        <v>-9759779.7697827816</v>
      </c>
      <c r="U153" s="228">
        <f t="shared" ca="1" si="23"/>
        <v>-1.8268053050378544E-2</v>
      </c>
      <c r="AO153" s="137"/>
      <c r="AP153" s="134"/>
      <c r="AQ153" s="137"/>
      <c r="AR153" s="137"/>
      <c r="AS153" s="137"/>
      <c r="AT153" s="32"/>
    </row>
    <row r="154" spans="1:46" x14ac:dyDescent="0.25">
      <c r="B154">
        <v>2015</v>
      </c>
      <c r="C154" s="6">
        <f t="shared" si="21"/>
        <v>524381523.07692313</v>
      </c>
      <c r="E154" s="6">
        <f t="shared" ca="1" si="19"/>
        <v>528833762.9823004</v>
      </c>
      <c r="M154" s="137">
        <f ca="1">OFFSET(CDM!$Q$19,0,ROW()-ROW($M$150))</f>
        <v>17695753</v>
      </c>
      <c r="S154" s="213">
        <f t="shared" ca="1" si="20"/>
        <v>524101364.03281069</v>
      </c>
      <c r="T154" s="37">
        <f t="shared" ca="1" si="22"/>
        <v>-4732398.9494897127</v>
      </c>
      <c r="U154" s="228">
        <f t="shared" ca="1" si="23"/>
        <v>-8.9487458644884246E-3</v>
      </c>
      <c r="AO154" s="137"/>
      <c r="AP154" s="134"/>
      <c r="AQ154" s="137"/>
      <c r="AR154" s="137"/>
      <c r="AS154" s="137"/>
      <c r="AT154" s="32"/>
    </row>
    <row r="155" spans="1:46" x14ac:dyDescent="0.25">
      <c r="B155">
        <v>2016</v>
      </c>
      <c r="C155" s="6">
        <f t="shared" si="21"/>
        <v>521292346.1538462</v>
      </c>
      <c r="E155" s="6">
        <f t="shared" ca="1" si="19"/>
        <v>525610329.21494138</v>
      </c>
      <c r="M155" s="137">
        <f ca="1">OFFSET(CDM!$Q$19,0,ROW()-ROW($M$150))</f>
        <v>23332281.5</v>
      </c>
      <c r="S155" s="213">
        <f t="shared" ca="1" si="20"/>
        <v>531690575.14684153</v>
      </c>
      <c r="T155" s="37">
        <f t="shared" ca="1" si="22"/>
        <v>6080245.9319001436</v>
      </c>
      <c r="U155" s="228">
        <f t="shared" ca="1" si="23"/>
        <v>1.1567972686118403E-2</v>
      </c>
      <c r="AO155" s="137"/>
      <c r="AP155" s="134"/>
      <c r="AQ155" s="137"/>
      <c r="AR155" s="137"/>
      <c r="AS155" s="137"/>
      <c r="AT155" s="32"/>
    </row>
    <row r="156" spans="1:46" x14ac:dyDescent="0.25">
      <c r="B156">
        <v>2017</v>
      </c>
      <c r="C156" s="6">
        <f>SUMIFS($C$3:$C$146,$B$3:$B$146,B156)</f>
        <v>494833719.04761904</v>
      </c>
      <c r="E156" s="6">
        <f t="shared" ca="1" si="19"/>
        <v>498991221.69032222</v>
      </c>
      <c r="M156" s="137">
        <f ca="1">OFFSET(CDM!$Q$19,0,ROW()-ROW($M$150))</f>
        <v>28886489</v>
      </c>
      <c r="S156" s="213">
        <f t="shared" ca="1" si="20"/>
        <v>509792411.85793579</v>
      </c>
      <c r="T156" s="37">
        <f t="shared" ca="1" si="22"/>
        <v>10801190.167613566</v>
      </c>
      <c r="U156" s="228">
        <f t="shared" ca="1" si="23"/>
        <v>2.1646052471674275E-2</v>
      </c>
      <c r="AO156" s="137"/>
      <c r="AP156" s="134"/>
      <c r="AQ156" s="137"/>
      <c r="AR156" s="137"/>
      <c r="AS156" s="137"/>
      <c r="AT156" s="32"/>
    </row>
    <row r="157" spans="1:46" x14ac:dyDescent="0.25">
      <c r="B157">
        <v>2018</v>
      </c>
      <c r="C157" s="6">
        <f t="shared" si="21"/>
        <v>515265533.33333325</v>
      </c>
      <c r="E157" s="6">
        <f t="shared" ca="1" si="19"/>
        <v>519290313.29109013</v>
      </c>
      <c r="M157" s="137">
        <f ca="1">OFFSET(CDM!$Q$19,0,ROW()-ROW($M$150))</f>
        <v>32433284</v>
      </c>
      <c r="R157" s="24"/>
      <c r="S157" s="213">
        <f t="shared" ca="1" si="20"/>
        <v>520695613.63353944</v>
      </c>
      <c r="T157" s="37">
        <f t="shared" ca="1" si="22"/>
        <v>1405300.3424493074</v>
      </c>
      <c r="U157" s="228">
        <f t="shared" ca="1" si="23"/>
        <v>2.7061940238071822E-3</v>
      </c>
      <c r="AO157" s="137"/>
      <c r="AP157" s="134"/>
      <c r="AQ157" s="137"/>
      <c r="AR157" s="137"/>
      <c r="AS157" s="137"/>
      <c r="AT157" s="32"/>
    </row>
    <row r="158" spans="1:46" x14ac:dyDescent="0.25">
      <c r="B158">
        <v>2019</v>
      </c>
      <c r="C158" s="6">
        <f t="shared" si="21"/>
        <v>509480020</v>
      </c>
      <c r="E158" s="6">
        <f t="shared" ca="1" si="19"/>
        <v>513275674.65413427</v>
      </c>
      <c r="M158" s="137">
        <f ca="1">OFFSET(CDM!$Q$19,0,ROW()-ROW($M$150))</f>
        <v>33813446.5</v>
      </c>
      <c r="R158" s="24"/>
      <c r="S158" s="213">
        <f t="shared" ca="1" si="20"/>
        <v>508565138.61511779</v>
      </c>
      <c r="T158" s="37">
        <f t="shared" ca="1" si="22"/>
        <v>-4710536.0390164852</v>
      </c>
      <c r="U158" s="228">
        <f t="shared" ca="1" si="23"/>
        <v>-9.1773997320068468E-3</v>
      </c>
    </row>
    <row r="159" spans="1:46" x14ac:dyDescent="0.25">
      <c r="B159" s="17">
        <v>2020</v>
      </c>
      <c r="M159" s="137">
        <f ca="1">OFFSET(CDM!$Q$19,0,ROW()-ROW($M$150))</f>
        <v>33886351.5</v>
      </c>
      <c r="R159" s="24"/>
      <c r="S159" s="213">
        <f t="shared" ca="1" si="20"/>
        <v>512308865.63729048</v>
      </c>
      <c r="T159" s="24"/>
      <c r="U159" s="87"/>
      <c r="V159" s="213"/>
    </row>
    <row r="160" spans="1:46" x14ac:dyDescent="0.25">
      <c r="B160">
        <v>2021</v>
      </c>
      <c r="M160" s="137">
        <f ca="1">OFFSET(CDM!$Q$19,0,ROW()-ROW($M$150))</f>
        <v>33960590</v>
      </c>
      <c r="R160" s="24"/>
      <c r="S160" s="213">
        <f t="shared" ca="1" si="20"/>
        <v>510970437.8379153</v>
      </c>
      <c r="T160" s="126"/>
      <c r="U160" s="87"/>
      <c r="V160" s="213"/>
    </row>
    <row r="161" spans="1:46" x14ac:dyDescent="0.25">
      <c r="R161" s="24"/>
      <c r="S161" s="24"/>
      <c r="T161" s="24"/>
      <c r="U161" s="87"/>
    </row>
    <row r="162" spans="1:46" x14ac:dyDescent="0.25">
      <c r="B162" t="s">
        <v>25</v>
      </c>
      <c r="E162" s="6">
        <f ca="1">SUM(E149:E158)</f>
        <v>5210569562.1934738</v>
      </c>
      <c r="R162" s="24"/>
      <c r="S162" s="213">
        <f ca="1">SUM(S149:S158)</f>
        <v>5208010052.6508369</v>
      </c>
      <c r="T162" s="28">
        <f ca="1">S162-E162</f>
        <v>-2559509.5426368713</v>
      </c>
      <c r="U162" s="5"/>
    </row>
    <row r="163" spans="1:46" x14ac:dyDescent="0.25">
      <c r="R163" s="24"/>
      <c r="S163" s="137"/>
      <c r="T163" s="24"/>
      <c r="U163" s="5"/>
    </row>
    <row r="164" spans="1:46" x14ac:dyDescent="0.25">
      <c r="M164" s="248">
        <f ca="1">SUM(M149:M160)</f>
        <v>255267721.5</v>
      </c>
      <c r="R164" s="24"/>
      <c r="S164" s="213">
        <f ca="1">SUM(S149:S160)</f>
        <v>6231289356.1260433</v>
      </c>
      <c r="T164" s="214">
        <f ca="1">S147-M164-S164</f>
        <v>0</v>
      </c>
      <c r="U164" s="5"/>
    </row>
    <row r="165" spans="1:46" x14ac:dyDescent="0.25">
      <c r="F165" s="28"/>
      <c r="G165" s="28"/>
      <c r="I165" s="28"/>
      <c r="J165" s="28"/>
      <c r="K165" s="28"/>
      <c r="R165" s="24"/>
      <c r="S165" s="20"/>
      <c r="T165" s="20" t="s">
        <v>65</v>
      </c>
      <c r="U165" s="20"/>
    </row>
    <row r="166" spans="1:46" x14ac:dyDescent="0.25">
      <c r="R166" s="24"/>
      <c r="S166" s="28"/>
      <c r="T166" s="24"/>
      <c r="U166" s="5"/>
    </row>
    <row r="167" spans="1:46" x14ac:dyDescent="0.25">
      <c r="U167" s="5"/>
    </row>
    <row r="168" spans="1:46" x14ac:dyDescent="0.25">
      <c r="A168" t="s">
        <v>212</v>
      </c>
      <c r="U168" s="5"/>
    </row>
    <row r="169" spans="1:46" x14ac:dyDescent="0.25">
      <c r="A169" s="75">
        <v>44197</v>
      </c>
      <c r="B169" s="75"/>
      <c r="F169" s="212">
        <f>'HDD CDD'!H23</f>
        <v>714.88526315789454</v>
      </c>
      <c r="G169" s="6">
        <f>'HDD CDD'!H47</f>
        <v>0</v>
      </c>
      <c r="H169" s="137">
        <f>H135</f>
        <v>31</v>
      </c>
      <c r="I169" s="137">
        <f t="shared" ref="I169:M169" si="24">I135</f>
        <v>0</v>
      </c>
      <c r="J169" s="137">
        <f t="shared" si="24"/>
        <v>320</v>
      </c>
      <c r="K169" s="137">
        <f t="shared" si="24"/>
        <v>0</v>
      </c>
      <c r="L169" s="137">
        <f t="shared" si="24"/>
        <v>1</v>
      </c>
      <c r="M169" s="137">
        <f t="shared" si="24"/>
        <v>2814573.4940895862</v>
      </c>
      <c r="N169" s="224"/>
      <c r="O169" s="224"/>
      <c r="P169" s="224"/>
      <c r="Q169" s="224"/>
      <c r="R169" s="224"/>
      <c r="S169" s="76">
        <f t="shared" ref="S169:S180" si="25">+$W$19+F169*$W$20+G169*$W$21+H169*$W$22+I169*$W$23+J169*$W$24+K169*$W$25+L169*$W$26+M169*$W$27</f>
        <v>48069931.474127427</v>
      </c>
      <c r="T169" s="37"/>
      <c r="U169" s="136"/>
      <c r="V169" s="111"/>
      <c r="AO169" s="137"/>
      <c r="AP169" s="134"/>
      <c r="AQ169" s="137"/>
      <c r="AR169" s="137"/>
      <c r="AS169" s="137"/>
      <c r="AT169" s="32"/>
    </row>
    <row r="170" spans="1:46" x14ac:dyDescent="0.25">
      <c r="A170" s="75">
        <v>44228</v>
      </c>
      <c r="B170" s="75"/>
      <c r="F170" s="212">
        <f>'HDD CDD'!I23</f>
        <v>633.13691729323307</v>
      </c>
      <c r="G170" s="6">
        <f>'HDD CDD'!I47</f>
        <v>0</v>
      </c>
      <c r="H170" s="137">
        <f t="shared" ref="H170:M180" si="26">H136</f>
        <v>28</v>
      </c>
      <c r="I170" s="137">
        <f t="shared" si="26"/>
        <v>0</v>
      </c>
      <c r="J170" s="137">
        <f t="shared" si="26"/>
        <v>304</v>
      </c>
      <c r="K170" s="137">
        <f t="shared" si="26"/>
        <v>0</v>
      </c>
      <c r="L170" s="137">
        <f t="shared" si="26"/>
        <v>1</v>
      </c>
      <c r="M170" s="137">
        <f t="shared" si="26"/>
        <v>2817387.2527399645</v>
      </c>
      <c r="N170" s="224"/>
      <c r="O170" s="224"/>
      <c r="P170" s="224"/>
      <c r="Q170" s="224"/>
      <c r="R170" s="224"/>
      <c r="S170" s="76">
        <f t="shared" si="25"/>
        <v>44013642.847538687</v>
      </c>
      <c r="T170" s="37"/>
      <c r="U170" s="136"/>
      <c r="V170" s="111"/>
      <c r="AO170" s="137"/>
      <c r="AP170" s="134"/>
      <c r="AQ170" s="137"/>
      <c r="AR170" s="137"/>
      <c r="AS170" s="137"/>
      <c r="AT170" s="32"/>
    </row>
    <row r="171" spans="1:46" x14ac:dyDescent="0.25">
      <c r="A171" s="75">
        <v>44256</v>
      </c>
      <c r="B171" s="75"/>
      <c r="F171" s="212">
        <f>'HDD CDD'!J23</f>
        <v>570.20496240601551</v>
      </c>
      <c r="G171" s="6">
        <f>'HDD CDD'!J47</f>
        <v>1.8646616541353467E-2</v>
      </c>
      <c r="H171" s="137">
        <f t="shared" si="26"/>
        <v>31</v>
      </c>
      <c r="I171" s="137">
        <f t="shared" si="26"/>
        <v>1</v>
      </c>
      <c r="J171" s="137">
        <f t="shared" si="26"/>
        <v>368</v>
      </c>
      <c r="K171" s="137">
        <f t="shared" si="26"/>
        <v>0</v>
      </c>
      <c r="L171" s="137">
        <f t="shared" si="26"/>
        <v>1</v>
      </c>
      <c r="M171" s="137">
        <f t="shared" si="26"/>
        <v>2820201.0113903428</v>
      </c>
      <c r="N171" s="224"/>
      <c r="O171" s="224"/>
      <c r="P171" s="224"/>
      <c r="Q171" s="224"/>
      <c r="R171" s="224"/>
      <c r="S171" s="76">
        <f>+$W$19+F171*$W$20+G171*$W$21+H171*$W$22+I171*$W$23+J171*$W$24+K171*$W$25+L171*$W$26+M171*$W$27</f>
        <v>45678229.629824661</v>
      </c>
      <c r="T171" s="37"/>
      <c r="U171" s="136"/>
      <c r="V171" s="111"/>
      <c r="AO171" s="137"/>
      <c r="AP171" s="134"/>
      <c r="AQ171" s="137"/>
      <c r="AR171" s="137"/>
      <c r="AS171" s="137"/>
      <c r="AT171" s="32"/>
    </row>
    <row r="172" spans="1:46" x14ac:dyDescent="0.25">
      <c r="A172" s="75">
        <v>44287</v>
      </c>
      <c r="B172" s="75"/>
      <c r="F172" s="212">
        <f>'HDD CDD'!K23</f>
        <v>347.85443609022559</v>
      </c>
      <c r="G172" s="6">
        <f>'HDD CDD'!K47</f>
        <v>0</v>
      </c>
      <c r="H172" s="137">
        <f t="shared" si="26"/>
        <v>30</v>
      </c>
      <c r="I172" s="137">
        <f t="shared" si="26"/>
        <v>1</v>
      </c>
      <c r="J172" s="137">
        <f t="shared" si="26"/>
        <v>336</v>
      </c>
      <c r="K172" s="137">
        <f t="shared" si="26"/>
        <v>0</v>
      </c>
      <c r="L172" s="137">
        <f t="shared" si="26"/>
        <v>1</v>
      </c>
      <c r="M172" s="137">
        <f t="shared" si="26"/>
        <v>2823014.7700407212</v>
      </c>
      <c r="N172" s="224"/>
      <c r="O172" s="224"/>
      <c r="P172" s="224"/>
      <c r="Q172" s="224"/>
      <c r="R172" s="224"/>
      <c r="S172" s="76">
        <f t="shared" si="25"/>
        <v>41897650.81220635</v>
      </c>
      <c r="T172" s="37"/>
      <c r="U172" s="136"/>
      <c r="V172" s="111"/>
      <c r="AO172" s="137"/>
      <c r="AP172" s="134"/>
      <c r="AQ172" s="137"/>
      <c r="AR172" s="137"/>
      <c r="AS172" s="137"/>
      <c r="AT172" s="32"/>
    </row>
    <row r="173" spans="1:46" x14ac:dyDescent="0.25">
      <c r="A173" s="75">
        <v>44317</v>
      </c>
      <c r="B173" s="75"/>
      <c r="F173" s="212">
        <f>'HDD CDD'!L23</f>
        <v>116.77075187969967</v>
      </c>
      <c r="G173" s="6">
        <f>'HDD CDD'!L47</f>
        <v>27.570751879699174</v>
      </c>
      <c r="H173" s="137">
        <f t="shared" si="26"/>
        <v>31</v>
      </c>
      <c r="I173" s="137">
        <f t="shared" si="26"/>
        <v>1</v>
      </c>
      <c r="J173" s="137">
        <f t="shared" si="26"/>
        <v>320</v>
      </c>
      <c r="K173" s="137">
        <f t="shared" si="26"/>
        <v>0</v>
      </c>
      <c r="L173" s="137">
        <f t="shared" si="26"/>
        <v>1</v>
      </c>
      <c r="M173" s="137">
        <f t="shared" si="26"/>
        <v>2825828.5286910995</v>
      </c>
      <c r="N173" s="224"/>
      <c r="O173" s="224"/>
      <c r="P173" s="224"/>
      <c r="Q173" s="224"/>
      <c r="R173" s="224"/>
      <c r="S173" s="76">
        <f t="shared" si="25"/>
        <v>42202863.991741218</v>
      </c>
      <c r="T173" s="37"/>
      <c r="U173" s="136"/>
      <c r="V173" s="111"/>
      <c r="AO173" s="137"/>
      <c r="AP173" s="134"/>
      <c r="AQ173" s="137"/>
      <c r="AR173" s="137"/>
      <c r="AS173" s="137"/>
      <c r="AT173" s="32"/>
    </row>
    <row r="174" spans="1:46" x14ac:dyDescent="0.25">
      <c r="A174" s="75">
        <v>44348</v>
      </c>
      <c r="B174" s="75"/>
      <c r="F174" s="212">
        <f>'HDD CDD'!M23</f>
        <v>22.306691729323347</v>
      </c>
      <c r="G174" s="6">
        <f>'HDD CDD'!M47</f>
        <v>59.702932330827252</v>
      </c>
      <c r="H174" s="137">
        <f t="shared" si="26"/>
        <v>30</v>
      </c>
      <c r="I174" s="137">
        <f t="shared" si="26"/>
        <v>0</v>
      </c>
      <c r="J174" s="137">
        <f t="shared" si="26"/>
        <v>352</v>
      </c>
      <c r="K174" s="137">
        <f t="shared" si="26"/>
        <v>0</v>
      </c>
      <c r="L174" s="137">
        <f t="shared" si="26"/>
        <v>1</v>
      </c>
      <c r="M174" s="137">
        <f t="shared" si="26"/>
        <v>2828642.2873414778</v>
      </c>
      <c r="N174" s="224"/>
      <c r="O174" s="224"/>
      <c r="P174" s="224"/>
      <c r="Q174" s="224"/>
      <c r="R174" s="224"/>
      <c r="S174" s="76">
        <f t="shared" si="25"/>
        <v>44843124.69101648</v>
      </c>
      <c r="T174" s="37"/>
      <c r="U174" s="136"/>
      <c r="V174" s="111"/>
      <c r="AO174" s="137"/>
      <c r="AP174" s="134"/>
      <c r="AQ174" s="137"/>
      <c r="AR174" s="137"/>
      <c r="AS174" s="137"/>
      <c r="AT174" s="32"/>
    </row>
    <row r="175" spans="1:46" x14ac:dyDescent="0.25">
      <c r="A175" s="75">
        <v>44378</v>
      </c>
      <c r="B175" s="75"/>
      <c r="F175" s="212">
        <f>'HDD CDD'!N23</f>
        <v>0</v>
      </c>
      <c r="G175" s="6">
        <f>'HDD CDD'!N47</f>
        <v>154.03842105263175</v>
      </c>
      <c r="H175" s="137">
        <f t="shared" si="26"/>
        <v>31</v>
      </c>
      <c r="I175" s="137">
        <f t="shared" si="26"/>
        <v>0</v>
      </c>
      <c r="J175" s="137">
        <f t="shared" si="26"/>
        <v>336</v>
      </c>
      <c r="K175" s="137">
        <f t="shared" si="26"/>
        <v>0</v>
      </c>
      <c r="L175" s="137">
        <f t="shared" si="26"/>
        <v>1</v>
      </c>
      <c r="M175" s="137">
        <f t="shared" si="26"/>
        <v>2831456.0459918561</v>
      </c>
      <c r="N175" s="224"/>
      <c r="O175" s="224"/>
      <c r="P175" s="224"/>
      <c r="Q175" s="224"/>
      <c r="R175" s="224"/>
      <c r="S175" s="76">
        <f t="shared" si="25"/>
        <v>51904697.845031746</v>
      </c>
      <c r="T175" s="37"/>
      <c r="U175" s="136"/>
      <c r="V175" s="111"/>
      <c r="AO175" s="137"/>
      <c r="AP175" s="134"/>
      <c r="AQ175" s="137"/>
      <c r="AR175" s="137"/>
      <c r="AS175" s="137"/>
      <c r="AT175" s="32"/>
    </row>
    <row r="176" spans="1:46" x14ac:dyDescent="0.25">
      <c r="A176" s="75">
        <v>44409</v>
      </c>
      <c r="B176" s="75"/>
      <c r="F176" s="212">
        <f>'HDD CDD'!O23</f>
        <v>3.7367669172932096</v>
      </c>
      <c r="G176" s="6">
        <f>'HDD CDD'!O47</f>
        <v>114.05969924812028</v>
      </c>
      <c r="H176" s="137">
        <f t="shared" si="26"/>
        <v>31</v>
      </c>
      <c r="I176" s="137">
        <f t="shared" si="26"/>
        <v>0</v>
      </c>
      <c r="J176" s="137">
        <f t="shared" si="26"/>
        <v>336</v>
      </c>
      <c r="K176" s="137">
        <f t="shared" si="26"/>
        <v>0</v>
      </c>
      <c r="L176" s="137">
        <f t="shared" si="26"/>
        <v>1</v>
      </c>
      <c r="M176" s="137">
        <f t="shared" si="26"/>
        <v>2834269.8046422345</v>
      </c>
      <c r="N176" s="224"/>
      <c r="O176" s="224"/>
      <c r="P176" s="224"/>
      <c r="Q176" s="224"/>
      <c r="R176" s="224"/>
      <c r="S176" s="76">
        <f t="shared" si="25"/>
        <v>49153705.36769148</v>
      </c>
      <c r="T176" s="37"/>
      <c r="U176" s="136"/>
      <c r="AO176" s="137"/>
      <c r="AP176" s="134"/>
      <c r="AQ176" s="137"/>
      <c r="AR176" s="137"/>
      <c r="AS176" s="137"/>
      <c r="AT176" s="32"/>
    </row>
    <row r="177" spans="1:46" x14ac:dyDescent="0.25">
      <c r="A177" s="75">
        <v>44440</v>
      </c>
      <c r="B177" s="75"/>
      <c r="F177" s="212">
        <f>'HDD CDD'!P23</f>
        <v>45.631428571428614</v>
      </c>
      <c r="G177" s="6">
        <f>'HDD CDD'!P47</f>
        <v>54.051127819549038</v>
      </c>
      <c r="H177" s="137">
        <f t="shared" si="26"/>
        <v>30</v>
      </c>
      <c r="I177" s="137">
        <f t="shared" si="26"/>
        <v>0</v>
      </c>
      <c r="J177" s="137">
        <f t="shared" si="26"/>
        <v>336</v>
      </c>
      <c r="K177" s="137">
        <f t="shared" si="26"/>
        <v>1</v>
      </c>
      <c r="L177" s="137">
        <f t="shared" si="26"/>
        <v>1</v>
      </c>
      <c r="M177" s="137">
        <f t="shared" si="26"/>
        <v>2837083.5632926128</v>
      </c>
      <c r="N177" s="224"/>
      <c r="O177" s="224"/>
      <c r="P177" s="224"/>
      <c r="Q177" s="224"/>
      <c r="R177" s="224"/>
      <c r="S177" s="76">
        <f t="shared" si="25"/>
        <v>43741803.114503644</v>
      </c>
      <c r="T177" s="37"/>
      <c r="U177" s="136"/>
      <c r="AO177" s="137"/>
      <c r="AP177" s="134"/>
      <c r="AQ177" s="137"/>
      <c r="AR177" s="137"/>
      <c r="AS177" s="137"/>
      <c r="AT177" s="32"/>
    </row>
    <row r="178" spans="1:46" x14ac:dyDescent="0.25">
      <c r="A178" s="75">
        <v>44470</v>
      </c>
      <c r="B178" s="75"/>
      <c r="F178" s="212">
        <f>'HDD CDD'!Q23</f>
        <v>209.59351879699216</v>
      </c>
      <c r="G178" s="6">
        <f>'HDD CDD'!Q47</f>
        <v>4.0399999999999991</v>
      </c>
      <c r="H178" s="137">
        <f t="shared" si="26"/>
        <v>31</v>
      </c>
      <c r="I178" s="137">
        <f t="shared" si="26"/>
        <v>0</v>
      </c>
      <c r="J178" s="137">
        <f t="shared" si="26"/>
        <v>320</v>
      </c>
      <c r="K178" s="137">
        <f t="shared" si="26"/>
        <v>1</v>
      </c>
      <c r="L178" s="137">
        <f t="shared" si="26"/>
        <v>1</v>
      </c>
      <c r="M178" s="137">
        <f t="shared" si="26"/>
        <v>2839897.3219429911</v>
      </c>
      <c r="N178" s="224"/>
      <c r="O178" s="224"/>
      <c r="P178" s="224"/>
      <c r="Q178" s="224"/>
      <c r="R178" s="224"/>
      <c r="S178" s="76">
        <f t="shared" si="25"/>
        <v>42608100.102272794</v>
      </c>
      <c r="T178" s="37"/>
      <c r="U178" s="136"/>
      <c r="AO178" s="137"/>
      <c r="AP178" s="134"/>
      <c r="AQ178" s="137"/>
      <c r="AR178" s="137"/>
      <c r="AS178" s="137"/>
      <c r="AT178" s="32"/>
    </row>
    <row r="179" spans="1:46" x14ac:dyDescent="0.25">
      <c r="A179" s="75">
        <v>44501</v>
      </c>
      <c r="B179" s="75"/>
      <c r="F179" s="212">
        <f>'HDD CDD'!R23</f>
        <v>447.04992481202953</v>
      </c>
      <c r="G179" s="6">
        <f>'HDD CDD'!R47</f>
        <v>0</v>
      </c>
      <c r="H179" s="137">
        <f t="shared" si="26"/>
        <v>30</v>
      </c>
      <c r="I179" s="137">
        <f t="shared" si="26"/>
        <v>0</v>
      </c>
      <c r="J179" s="137">
        <f t="shared" si="26"/>
        <v>352</v>
      </c>
      <c r="K179" s="137">
        <f t="shared" si="26"/>
        <v>1</v>
      </c>
      <c r="L179" s="137">
        <f t="shared" si="26"/>
        <v>1</v>
      </c>
      <c r="M179" s="137">
        <f t="shared" si="26"/>
        <v>2842711.0805933694</v>
      </c>
      <c r="N179" s="224"/>
      <c r="O179" s="224"/>
      <c r="P179" s="224"/>
      <c r="Q179" s="224"/>
      <c r="R179" s="224"/>
      <c r="S179" s="76">
        <f t="shared" si="25"/>
        <v>44287435.601567738</v>
      </c>
      <c r="T179" s="37"/>
      <c r="U179" s="136"/>
      <c r="AO179" s="137"/>
      <c r="AP179" s="134"/>
      <c r="AQ179" s="137"/>
      <c r="AR179" s="137"/>
      <c r="AS179" s="137"/>
      <c r="AT179" s="32"/>
    </row>
    <row r="180" spans="1:46" x14ac:dyDescent="0.25">
      <c r="A180" s="75">
        <v>44531</v>
      </c>
      <c r="B180" s="75"/>
      <c r="F180" s="212">
        <f>'HDD CDD'!S23</f>
        <v>574.00684210526288</v>
      </c>
      <c r="G180" s="6">
        <f>'HDD CDD'!S47</f>
        <v>0</v>
      </c>
      <c r="H180" s="137">
        <f t="shared" si="26"/>
        <v>31</v>
      </c>
      <c r="I180" s="137">
        <f t="shared" si="26"/>
        <v>0</v>
      </c>
      <c r="J180" s="137">
        <f t="shared" si="26"/>
        <v>352</v>
      </c>
      <c r="K180" s="137">
        <f t="shared" si="26"/>
        <v>0</v>
      </c>
      <c r="L180" s="137">
        <f t="shared" si="26"/>
        <v>1</v>
      </c>
      <c r="M180" s="137">
        <f t="shared" si="26"/>
        <v>2845524.8392437478</v>
      </c>
      <c r="N180" s="224"/>
      <c r="O180" s="224"/>
      <c r="P180" s="224"/>
      <c r="Q180" s="224"/>
      <c r="R180" s="224"/>
      <c r="S180" s="76">
        <f t="shared" si="25"/>
        <v>47211607.317537829</v>
      </c>
      <c r="T180" s="37">
        <f>SUM(S169:S180)</f>
        <v>545612792.79506004</v>
      </c>
      <c r="U180" s="136"/>
      <c r="AO180" s="137"/>
      <c r="AP180" s="134"/>
      <c r="AQ180" s="137"/>
      <c r="AR180" s="137"/>
      <c r="AS180" s="137"/>
      <c r="AT180" s="32"/>
    </row>
    <row r="181" spans="1:46" x14ac:dyDescent="0.25">
      <c r="U181" s="5"/>
    </row>
    <row r="182" spans="1:46" x14ac:dyDescent="0.25">
      <c r="U182" s="5"/>
    </row>
    <row r="183" spans="1:46" x14ac:dyDescent="0.25">
      <c r="U183" s="5"/>
    </row>
    <row r="184" spans="1:46" x14ac:dyDescent="0.25">
      <c r="U184" s="5"/>
    </row>
    <row r="185" spans="1:46" x14ac:dyDescent="0.25">
      <c r="U185" s="5"/>
    </row>
    <row r="186" spans="1:46" x14ac:dyDescent="0.25">
      <c r="U186" s="5"/>
    </row>
    <row r="187" spans="1:46" x14ac:dyDescent="0.25">
      <c r="U187" s="5"/>
    </row>
    <row r="188" spans="1:46" x14ac:dyDescent="0.25">
      <c r="U188" s="5"/>
    </row>
    <row r="189" spans="1:46" x14ac:dyDescent="0.25">
      <c r="U189" s="5"/>
    </row>
    <row r="190" spans="1:46" x14ac:dyDescent="0.25">
      <c r="U190" s="5"/>
    </row>
    <row r="191" spans="1:46" x14ac:dyDescent="0.25">
      <c r="U191" s="5"/>
    </row>
    <row r="192" spans="1:46" x14ac:dyDescent="0.25">
      <c r="U192" s="5"/>
    </row>
    <row r="193" spans="21:21" x14ac:dyDescent="0.25">
      <c r="U193" s="5"/>
    </row>
    <row r="194" spans="21:21" x14ac:dyDescent="0.25">
      <c r="U194" s="5"/>
    </row>
    <row r="195" spans="21:21" x14ac:dyDescent="0.25">
      <c r="U195" s="5"/>
    </row>
    <row r="196" spans="21:21" x14ac:dyDescent="0.25">
      <c r="U196" s="5"/>
    </row>
    <row r="197" spans="21:21" x14ac:dyDescent="0.25">
      <c r="U197" s="5"/>
    </row>
    <row r="198" spans="21:21" x14ac:dyDescent="0.25">
      <c r="U198" s="5"/>
    </row>
    <row r="199" spans="21:21" x14ac:dyDescent="0.25">
      <c r="U199" s="5"/>
    </row>
    <row r="200" spans="21:21" x14ac:dyDescent="0.25">
      <c r="U200" s="5"/>
    </row>
    <row r="201" spans="21:21" x14ac:dyDescent="0.25">
      <c r="U201" s="5"/>
    </row>
    <row r="202" spans="21:21" x14ac:dyDescent="0.25">
      <c r="U202" s="5"/>
    </row>
    <row r="203" spans="21:21" x14ac:dyDescent="0.25">
      <c r="U203" s="5"/>
    </row>
    <row r="204" spans="21:21" x14ac:dyDescent="0.25">
      <c r="U204" s="5"/>
    </row>
    <row r="205" spans="21:21" x14ac:dyDescent="0.25">
      <c r="U205" s="5"/>
    </row>
    <row r="206" spans="21:21" x14ac:dyDescent="0.25">
      <c r="U206" s="5"/>
    </row>
    <row r="207" spans="21:21" x14ac:dyDescent="0.25">
      <c r="U207" s="5"/>
    </row>
    <row r="208" spans="21:21" x14ac:dyDescent="0.25">
      <c r="U208" s="5"/>
    </row>
    <row r="209" spans="21:21" x14ac:dyDescent="0.25">
      <c r="U209" s="5"/>
    </row>
    <row r="210" spans="21:21" x14ac:dyDescent="0.25">
      <c r="U210" s="5"/>
    </row>
    <row r="211" spans="21:21" x14ac:dyDescent="0.25">
      <c r="U211" s="5"/>
    </row>
    <row r="212" spans="21:21" x14ac:dyDescent="0.25">
      <c r="U212" s="5"/>
    </row>
    <row r="213" spans="21:21" x14ac:dyDescent="0.25">
      <c r="U213" s="5"/>
    </row>
    <row r="214" spans="21:21" x14ac:dyDescent="0.25">
      <c r="U214" s="5"/>
    </row>
    <row r="215" spans="21:21" x14ac:dyDescent="0.25">
      <c r="U215" s="5"/>
    </row>
    <row r="216" spans="21:21" x14ac:dyDescent="0.25">
      <c r="U216" s="5"/>
    </row>
    <row r="217" spans="21:21" x14ac:dyDescent="0.25">
      <c r="U217" s="5"/>
    </row>
    <row r="218" spans="21:21" x14ac:dyDescent="0.25">
      <c r="U218" s="5"/>
    </row>
    <row r="219" spans="21:21" x14ac:dyDescent="0.25">
      <c r="U219" s="5"/>
    </row>
    <row r="220" spans="21:21" x14ac:dyDescent="0.25">
      <c r="U220" s="5"/>
    </row>
    <row r="221" spans="21:21" x14ac:dyDescent="0.25">
      <c r="U221" s="5"/>
    </row>
    <row r="222" spans="21:21" x14ac:dyDescent="0.25">
      <c r="U222" s="5"/>
    </row>
    <row r="223" spans="21:21" x14ac:dyDescent="0.25">
      <c r="U223" s="5"/>
    </row>
    <row r="224" spans="21:21" x14ac:dyDescent="0.25">
      <c r="U224" s="5"/>
    </row>
    <row r="225" spans="21:21" x14ac:dyDescent="0.25">
      <c r="U225" s="5"/>
    </row>
    <row r="226" spans="21:21" x14ac:dyDescent="0.25">
      <c r="U226" s="5" t="e">
        <f>#REF!/#REF!</f>
        <v>#REF!</v>
      </c>
    </row>
    <row r="227" spans="21:21" x14ac:dyDescent="0.25">
      <c r="U227" s="5" t="e">
        <f>#REF!/#REF!</f>
        <v>#REF!</v>
      </c>
    </row>
    <row r="228" spans="21:21" x14ac:dyDescent="0.25">
      <c r="U228" s="5" t="e">
        <f>#REF!/#REF!</f>
        <v>#REF!</v>
      </c>
    </row>
    <row r="229" spans="21:21" x14ac:dyDescent="0.25">
      <c r="U229" s="5" t="e">
        <f>#REF!/#REF!</f>
        <v>#REF!</v>
      </c>
    </row>
    <row r="230" spans="21:21" x14ac:dyDescent="0.25">
      <c r="U230" s="5" t="e">
        <f>#REF!/#REF!</f>
        <v>#REF!</v>
      </c>
    </row>
    <row r="231" spans="21:21" x14ac:dyDescent="0.25">
      <c r="U231" s="5" t="e">
        <f>#REF!/#REF!</f>
        <v>#REF!</v>
      </c>
    </row>
    <row r="232" spans="21:21" x14ac:dyDescent="0.25">
      <c r="U232" s="5" t="e">
        <f>#REF!/#REF!</f>
        <v>#REF!</v>
      </c>
    </row>
    <row r="233" spans="21:21" x14ac:dyDescent="0.25">
      <c r="U233" s="5">
        <f ca="1">T149/C149</f>
        <v>-2.6045799165000266E-3</v>
      </c>
    </row>
    <row r="234" spans="21:21" x14ac:dyDescent="0.25">
      <c r="U234" s="5">
        <f ca="1">T150/C150</f>
        <v>-1.4363796147706276E-3</v>
      </c>
    </row>
    <row r="235" spans="21:21" x14ac:dyDescent="0.25">
      <c r="U235" s="5">
        <f ca="1">T151/C151</f>
        <v>9.9498758025643036E-3</v>
      </c>
    </row>
    <row r="236" spans="21:21" x14ac:dyDescent="0.25">
      <c r="U236" s="5">
        <f ca="1">T152/C152</f>
        <v>-8.9427153285128423E-3</v>
      </c>
    </row>
    <row r="237" spans="21:21" x14ac:dyDescent="0.25">
      <c r="U237" s="5">
        <f ca="1">T153/C153</f>
        <v>-1.8432077430205817E-2</v>
      </c>
    </row>
    <row r="241" spans="21:21" x14ac:dyDescent="0.25">
      <c r="U241" s="24"/>
    </row>
    <row r="242" spans="21:21" x14ac:dyDescent="0.25">
      <c r="U242" s="24"/>
    </row>
    <row r="243" spans="21:21" x14ac:dyDescent="0.25">
      <c r="U243" s="24"/>
    </row>
    <row r="244" spans="21:21" x14ac:dyDescent="0.25">
      <c r="U244" s="24"/>
    </row>
    <row r="245" spans="21:21" x14ac:dyDescent="0.25">
      <c r="U245" s="24"/>
    </row>
    <row r="246" spans="21:21" x14ac:dyDescent="0.25">
      <c r="U246" s="24"/>
    </row>
    <row r="247" spans="21:21" x14ac:dyDescent="0.25">
      <c r="U247" s="24"/>
    </row>
    <row r="248" spans="21:21" x14ac:dyDescent="0.25">
      <c r="U248" s="24"/>
    </row>
    <row r="249" spans="21:21" x14ac:dyDescent="0.25">
      <c r="U249" s="24"/>
    </row>
    <row r="250" spans="21:21" x14ac:dyDescent="0.25">
      <c r="U250" s="24"/>
    </row>
  </sheetData>
  <pageMargins left="0.39370078740157483" right="0.74803149606299213" top="0.74803149606299213" bottom="0.74803149606299213" header="0.51181102362204722" footer="0.51181102362204722"/>
  <pageSetup scale="66" fitToWidth="3" fitToHeight="4" orientation="landscape" r:id="rId1"/>
  <headerFooter alignWithMargins="0"/>
  <rowBreaks count="1" manualBreakCount="1">
    <brk id="167" max="28" man="1"/>
  </rowBreaks>
  <colBreaks count="1" manualBreakCount="1">
    <brk id="21" max="179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H121"/>
  <sheetViews>
    <sheetView topLeftCell="A73" zoomScaleNormal="100" workbookViewId="0">
      <selection activeCell="Q41" sqref="Q41"/>
    </sheetView>
  </sheetViews>
  <sheetFormatPr defaultRowHeight="13.2" x14ac:dyDescent="0.25"/>
  <sheetData>
    <row r="1" spans="1:8" x14ac:dyDescent="0.25">
      <c r="A1" t="s">
        <v>179</v>
      </c>
      <c r="B1" t="s">
        <v>3</v>
      </c>
      <c r="C1" t="s">
        <v>4</v>
      </c>
      <c r="D1" t="s">
        <v>5</v>
      </c>
      <c r="E1" t="s">
        <v>117</v>
      </c>
      <c r="F1" t="s">
        <v>6</v>
      </c>
      <c r="G1" t="s">
        <v>118</v>
      </c>
      <c r="H1" t="s">
        <v>119</v>
      </c>
    </row>
    <row r="2" spans="1:8" x14ac:dyDescent="0.25">
      <c r="A2">
        <v>47472216.966202989</v>
      </c>
      <c r="B2">
        <v>720</v>
      </c>
      <c r="C2">
        <v>0</v>
      </c>
      <c r="D2">
        <v>31</v>
      </c>
      <c r="E2">
        <v>0</v>
      </c>
      <c r="F2">
        <v>320</v>
      </c>
      <c r="G2">
        <v>0</v>
      </c>
      <c r="H2">
        <v>0</v>
      </c>
    </row>
    <row r="3" spans="1:8" x14ac:dyDescent="0.25">
      <c r="A3">
        <v>42508653.525144011</v>
      </c>
      <c r="B3">
        <v>598.29999999999995</v>
      </c>
      <c r="C3">
        <v>0</v>
      </c>
      <c r="D3">
        <v>28</v>
      </c>
      <c r="E3">
        <v>0</v>
      </c>
      <c r="F3">
        <v>304</v>
      </c>
      <c r="G3">
        <v>0</v>
      </c>
      <c r="H3">
        <v>0</v>
      </c>
    </row>
    <row r="4" spans="1:8" x14ac:dyDescent="0.25">
      <c r="A4">
        <v>42669059.368760794</v>
      </c>
      <c r="B4">
        <v>422.8</v>
      </c>
      <c r="C4">
        <v>0</v>
      </c>
      <c r="D4">
        <v>31</v>
      </c>
      <c r="E4">
        <v>1</v>
      </c>
      <c r="F4">
        <v>368</v>
      </c>
      <c r="G4">
        <v>0</v>
      </c>
      <c r="H4">
        <v>0</v>
      </c>
    </row>
    <row r="5" spans="1:8" x14ac:dyDescent="0.25">
      <c r="A5">
        <v>38120390.194950953</v>
      </c>
      <c r="B5">
        <v>225.1</v>
      </c>
      <c r="C5">
        <v>0</v>
      </c>
      <c r="D5">
        <v>30</v>
      </c>
      <c r="E5">
        <v>1</v>
      </c>
      <c r="F5">
        <v>320</v>
      </c>
      <c r="G5">
        <v>0</v>
      </c>
      <c r="H5">
        <v>0</v>
      </c>
    </row>
    <row r="6" spans="1:8" x14ac:dyDescent="0.25">
      <c r="A6">
        <v>42875662.668418743</v>
      </c>
      <c r="B6">
        <v>107.9</v>
      </c>
      <c r="C6">
        <v>45.7</v>
      </c>
      <c r="D6">
        <v>31</v>
      </c>
      <c r="E6">
        <v>1</v>
      </c>
      <c r="F6">
        <v>320</v>
      </c>
      <c r="G6">
        <v>0</v>
      </c>
      <c r="H6">
        <v>0</v>
      </c>
    </row>
    <row r="7" spans="1:8" x14ac:dyDescent="0.25">
      <c r="A7">
        <v>44648092.905910902</v>
      </c>
      <c r="B7">
        <v>21.7</v>
      </c>
      <c r="C7">
        <v>58.7</v>
      </c>
      <c r="D7">
        <v>30</v>
      </c>
      <c r="E7">
        <v>0</v>
      </c>
      <c r="F7">
        <v>352</v>
      </c>
      <c r="G7">
        <v>0</v>
      </c>
      <c r="H7">
        <v>0</v>
      </c>
    </row>
    <row r="8" spans="1:8" x14ac:dyDescent="0.25">
      <c r="A8">
        <v>51549574.136028662</v>
      </c>
      <c r="B8">
        <v>1.8</v>
      </c>
      <c r="C8">
        <v>164.9</v>
      </c>
      <c r="D8">
        <v>31</v>
      </c>
      <c r="E8">
        <v>0</v>
      </c>
      <c r="F8">
        <v>336</v>
      </c>
      <c r="G8">
        <v>0</v>
      </c>
      <c r="H8">
        <v>0</v>
      </c>
    </row>
    <row r="9" spans="1:8" x14ac:dyDescent="0.25">
      <c r="A9">
        <v>49500530.616359599</v>
      </c>
      <c r="B9">
        <v>2.1</v>
      </c>
      <c r="C9">
        <v>138.80000000000001</v>
      </c>
      <c r="D9">
        <v>31</v>
      </c>
      <c r="E9">
        <v>0</v>
      </c>
      <c r="F9">
        <v>336</v>
      </c>
      <c r="G9">
        <v>0</v>
      </c>
      <c r="H9">
        <v>0</v>
      </c>
    </row>
    <row r="10" spans="1:8" x14ac:dyDescent="0.25">
      <c r="A10">
        <v>41502323.342172094</v>
      </c>
      <c r="B10">
        <v>78.099999999999994</v>
      </c>
      <c r="C10">
        <v>31.5</v>
      </c>
      <c r="D10">
        <v>30</v>
      </c>
      <c r="E10">
        <v>0</v>
      </c>
      <c r="F10">
        <v>336</v>
      </c>
      <c r="G10">
        <v>1</v>
      </c>
      <c r="H10">
        <v>0</v>
      </c>
    </row>
    <row r="11" spans="1:8" x14ac:dyDescent="0.25">
      <c r="A11">
        <v>40951220.454775818</v>
      </c>
      <c r="B11">
        <v>241.6</v>
      </c>
      <c r="C11">
        <v>0</v>
      </c>
      <c r="D11">
        <v>31</v>
      </c>
      <c r="E11">
        <v>0</v>
      </c>
      <c r="F11">
        <v>320</v>
      </c>
      <c r="G11">
        <v>1</v>
      </c>
      <c r="H11">
        <v>0</v>
      </c>
    </row>
    <row r="12" spans="1:8" x14ac:dyDescent="0.25">
      <c r="A12">
        <v>42054579.336362571</v>
      </c>
      <c r="B12">
        <v>405.3</v>
      </c>
      <c r="C12">
        <v>0</v>
      </c>
      <c r="D12">
        <v>30</v>
      </c>
      <c r="E12">
        <v>0</v>
      </c>
      <c r="F12">
        <v>336</v>
      </c>
      <c r="G12">
        <v>1</v>
      </c>
      <c r="H12">
        <v>0</v>
      </c>
    </row>
    <row r="13" spans="1:8" x14ac:dyDescent="0.25">
      <c r="A13">
        <v>48154810.207067154</v>
      </c>
      <c r="B13">
        <v>676.2</v>
      </c>
      <c r="C13">
        <v>0</v>
      </c>
      <c r="D13">
        <v>31</v>
      </c>
      <c r="E13">
        <v>0</v>
      </c>
      <c r="F13">
        <v>368</v>
      </c>
      <c r="G13">
        <v>0</v>
      </c>
      <c r="H13">
        <v>0</v>
      </c>
    </row>
    <row r="14" spans="1:8" x14ac:dyDescent="0.25">
      <c r="A14">
        <v>48881674.921605229</v>
      </c>
      <c r="B14">
        <v>775.3</v>
      </c>
      <c r="C14">
        <v>0</v>
      </c>
      <c r="D14">
        <v>31</v>
      </c>
      <c r="E14">
        <v>0</v>
      </c>
      <c r="F14">
        <v>336</v>
      </c>
      <c r="G14">
        <v>0</v>
      </c>
      <c r="H14">
        <v>0</v>
      </c>
    </row>
    <row r="15" spans="1:8" x14ac:dyDescent="0.25">
      <c r="A15">
        <v>43771270.850017607</v>
      </c>
      <c r="B15">
        <v>654.20000000000005</v>
      </c>
      <c r="C15">
        <v>0</v>
      </c>
      <c r="D15">
        <v>28</v>
      </c>
      <c r="E15">
        <v>0</v>
      </c>
      <c r="F15">
        <v>304</v>
      </c>
      <c r="G15">
        <v>0</v>
      </c>
      <c r="H15">
        <v>0</v>
      </c>
    </row>
    <row r="16" spans="1:8" x14ac:dyDescent="0.25">
      <c r="A16">
        <v>45634046.283321574</v>
      </c>
      <c r="B16">
        <v>572.79999999999995</v>
      </c>
      <c r="C16">
        <v>0</v>
      </c>
      <c r="D16">
        <v>31</v>
      </c>
      <c r="E16">
        <v>1</v>
      </c>
      <c r="F16">
        <v>368</v>
      </c>
      <c r="G16">
        <v>0</v>
      </c>
      <c r="H16">
        <v>0</v>
      </c>
    </row>
    <row r="17" spans="1:8" x14ac:dyDescent="0.25">
      <c r="A17">
        <v>40762137.266352326</v>
      </c>
      <c r="B17">
        <v>332.3</v>
      </c>
      <c r="C17">
        <v>0</v>
      </c>
      <c r="D17">
        <v>30</v>
      </c>
      <c r="E17">
        <v>1</v>
      </c>
      <c r="F17">
        <v>320</v>
      </c>
      <c r="G17">
        <v>0</v>
      </c>
      <c r="H17">
        <v>0</v>
      </c>
    </row>
    <row r="18" spans="1:8" x14ac:dyDescent="0.25">
      <c r="A18">
        <v>41587769.405215353</v>
      </c>
      <c r="B18">
        <v>134.1</v>
      </c>
      <c r="C18">
        <v>13</v>
      </c>
      <c r="D18">
        <v>31</v>
      </c>
      <c r="E18">
        <v>1</v>
      </c>
      <c r="F18">
        <v>336</v>
      </c>
      <c r="G18">
        <v>0</v>
      </c>
      <c r="H18">
        <v>0</v>
      </c>
    </row>
    <row r="19" spans="1:8" x14ac:dyDescent="0.25">
      <c r="A19">
        <v>43738403.419399783</v>
      </c>
      <c r="B19">
        <v>19</v>
      </c>
      <c r="C19">
        <v>52.2</v>
      </c>
      <c r="D19">
        <v>30</v>
      </c>
      <c r="E19">
        <v>0</v>
      </c>
      <c r="F19">
        <v>352</v>
      </c>
      <c r="G19">
        <v>0</v>
      </c>
      <c r="H19">
        <v>0</v>
      </c>
    </row>
    <row r="20" spans="1:8" x14ac:dyDescent="0.25">
      <c r="A20">
        <v>51970236.162131719</v>
      </c>
      <c r="B20">
        <v>0</v>
      </c>
      <c r="C20">
        <v>198.5</v>
      </c>
      <c r="D20">
        <v>31</v>
      </c>
      <c r="E20">
        <v>0</v>
      </c>
      <c r="F20">
        <v>320</v>
      </c>
      <c r="G20">
        <v>0</v>
      </c>
      <c r="H20">
        <v>0</v>
      </c>
    </row>
    <row r="21" spans="1:8" x14ac:dyDescent="0.25">
      <c r="A21">
        <v>48106657.968837023</v>
      </c>
      <c r="B21">
        <v>0</v>
      </c>
      <c r="C21">
        <v>122.2</v>
      </c>
      <c r="D21">
        <v>31</v>
      </c>
      <c r="E21">
        <v>0</v>
      </c>
      <c r="F21">
        <v>352</v>
      </c>
      <c r="G21">
        <v>0</v>
      </c>
      <c r="H21">
        <v>0</v>
      </c>
    </row>
    <row r="22" spans="1:8" x14ac:dyDescent="0.25">
      <c r="A22">
        <v>41798512.781907342</v>
      </c>
      <c r="B22">
        <v>48.2</v>
      </c>
      <c r="C22">
        <v>39.700000000000003</v>
      </c>
      <c r="D22">
        <v>30</v>
      </c>
      <c r="E22">
        <v>0</v>
      </c>
      <c r="F22">
        <v>336</v>
      </c>
      <c r="G22">
        <v>1</v>
      </c>
      <c r="H22">
        <v>0</v>
      </c>
    </row>
    <row r="23" spans="1:8" x14ac:dyDescent="0.25">
      <c r="A23">
        <v>41906596.21075777</v>
      </c>
      <c r="B23">
        <v>235.5</v>
      </c>
      <c r="C23">
        <v>2.4</v>
      </c>
      <c r="D23">
        <v>31</v>
      </c>
      <c r="E23">
        <v>0</v>
      </c>
      <c r="F23">
        <v>320</v>
      </c>
      <c r="G23">
        <v>1</v>
      </c>
      <c r="H23">
        <v>0</v>
      </c>
    </row>
    <row r="24" spans="1:8" x14ac:dyDescent="0.25">
      <c r="A24">
        <v>42235222.866225161</v>
      </c>
      <c r="B24">
        <v>341.9</v>
      </c>
      <c r="C24">
        <v>0</v>
      </c>
      <c r="D24">
        <v>30</v>
      </c>
      <c r="E24">
        <v>0</v>
      </c>
      <c r="F24">
        <v>352</v>
      </c>
      <c r="G24">
        <v>1</v>
      </c>
      <c r="H24">
        <v>0</v>
      </c>
    </row>
    <row r="25" spans="1:8" x14ac:dyDescent="0.25">
      <c r="A25">
        <v>41946848.890500419</v>
      </c>
      <c r="B25">
        <v>534</v>
      </c>
      <c r="C25">
        <v>0</v>
      </c>
      <c r="D25">
        <v>31</v>
      </c>
      <c r="E25">
        <v>0</v>
      </c>
      <c r="F25">
        <v>336</v>
      </c>
      <c r="G25">
        <v>0</v>
      </c>
      <c r="H25">
        <v>0</v>
      </c>
    </row>
    <row r="26" spans="1:8" x14ac:dyDescent="0.25">
      <c r="A26">
        <v>46525102.535699487</v>
      </c>
      <c r="B26">
        <v>611.1</v>
      </c>
      <c r="C26">
        <v>0</v>
      </c>
      <c r="D26">
        <v>31</v>
      </c>
      <c r="E26">
        <v>0</v>
      </c>
      <c r="F26">
        <v>352</v>
      </c>
      <c r="G26">
        <v>0</v>
      </c>
      <c r="H26">
        <v>0</v>
      </c>
    </row>
    <row r="27" spans="1:8" x14ac:dyDescent="0.25">
      <c r="A27">
        <v>42435872.730341449</v>
      </c>
      <c r="B27">
        <v>531.70000000000005</v>
      </c>
      <c r="C27">
        <v>0</v>
      </c>
      <c r="D27">
        <v>29</v>
      </c>
      <c r="E27">
        <v>0</v>
      </c>
      <c r="F27">
        <v>320</v>
      </c>
      <c r="G27">
        <v>0</v>
      </c>
      <c r="H27">
        <v>0</v>
      </c>
    </row>
    <row r="28" spans="1:8" x14ac:dyDescent="0.25">
      <c r="A28">
        <v>42036598.382555865</v>
      </c>
      <c r="B28">
        <v>349.4</v>
      </c>
      <c r="C28">
        <v>0.2</v>
      </c>
      <c r="D28">
        <v>31</v>
      </c>
      <c r="E28">
        <v>1</v>
      </c>
      <c r="F28">
        <v>352</v>
      </c>
      <c r="G28">
        <v>0</v>
      </c>
      <c r="H28">
        <v>0</v>
      </c>
    </row>
    <row r="29" spans="1:8" x14ac:dyDescent="0.25">
      <c r="A29">
        <v>40038787.805545285</v>
      </c>
      <c r="B29">
        <v>321.7</v>
      </c>
      <c r="C29">
        <v>0</v>
      </c>
      <c r="D29">
        <v>30</v>
      </c>
      <c r="E29">
        <v>1</v>
      </c>
      <c r="F29">
        <v>320</v>
      </c>
      <c r="G29">
        <v>0</v>
      </c>
      <c r="H29">
        <v>0</v>
      </c>
    </row>
    <row r="30" spans="1:8" x14ac:dyDescent="0.25">
      <c r="A30">
        <v>41281262.879913256</v>
      </c>
      <c r="B30">
        <v>80.7</v>
      </c>
      <c r="C30">
        <v>36.700000000000003</v>
      </c>
      <c r="D30">
        <v>31</v>
      </c>
      <c r="E30">
        <v>1</v>
      </c>
      <c r="F30">
        <v>352</v>
      </c>
      <c r="G30">
        <v>0</v>
      </c>
      <c r="H30">
        <v>0</v>
      </c>
    </row>
    <row r="31" spans="1:8" x14ac:dyDescent="0.25">
      <c r="A31">
        <v>46514666.945070252</v>
      </c>
      <c r="B31">
        <v>23.2</v>
      </c>
      <c r="C31">
        <v>101.6</v>
      </c>
      <c r="D31">
        <v>30</v>
      </c>
      <c r="E31">
        <v>0</v>
      </c>
      <c r="F31">
        <v>336</v>
      </c>
      <c r="G31">
        <v>0</v>
      </c>
      <c r="H31">
        <v>0</v>
      </c>
    </row>
    <row r="32" spans="1:8" x14ac:dyDescent="0.25">
      <c r="A32">
        <v>52570360.149020873</v>
      </c>
      <c r="B32">
        <v>0</v>
      </c>
      <c r="C32">
        <v>195.4</v>
      </c>
      <c r="D32">
        <v>31</v>
      </c>
      <c r="E32">
        <v>0</v>
      </c>
      <c r="F32">
        <v>336</v>
      </c>
      <c r="G32">
        <v>0</v>
      </c>
      <c r="H32">
        <v>0</v>
      </c>
    </row>
    <row r="33" spans="1:8" x14ac:dyDescent="0.25">
      <c r="A33">
        <v>47158405.226866052</v>
      </c>
      <c r="B33">
        <v>2</v>
      </c>
      <c r="C33">
        <v>112.1</v>
      </c>
      <c r="D33">
        <v>31</v>
      </c>
      <c r="E33">
        <v>0</v>
      </c>
      <c r="F33">
        <v>352</v>
      </c>
      <c r="G33">
        <v>0</v>
      </c>
      <c r="H33">
        <v>0</v>
      </c>
    </row>
    <row r="34" spans="1:8" x14ac:dyDescent="0.25">
      <c r="A34">
        <v>41189732.536530606</v>
      </c>
      <c r="B34">
        <v>85</v>
      </c>
      <c r="C34">
        <v>35.6</v>
      </c>
      <c r="D34">
        <v>30</v>
      </c>
      <c r="E34">
        <v>0</v>
      </c>
      <c r="F34">
        <v>304</v>
      </c>
      <c r="G34">
        <v>1</v>
      </c>
      <c r="H34">
        <v>0</v>
      </c>
    </row>
    <row r="35" spans="1:8" x14ac:dyDescent="0.25">
      <c r="A35">
        <v>41413715.172564894</v>
      </c>
      <c r="B35">
        <v>242.5</v>
      </c>
      <c r="C35">
        <v>1.1000000000000001</v>
      </c>
      <c r="D35">
        <v>31</v>
      </c>
      <c r="E35">
        <v>0</v>
      </c>
      <c r="F35">
        <v>352</v>
      </c>
      <c r="G35">
        <v>1</v>
      </c>
      <c r="H35">
        <v>0</v>
      </c>
    </row>
    <row r="36" spans="1:8" x14ac:dyDescent="0.25">
      <c r="A36">
        <v>41937564.993160278</v>
      </c>
      <c r="B36">
        <v>434</v>
      </c>
      <c r="C36">
        <v>0</v>
      </c>
      <c r="D36">
        <v>30</v>
      </c>
      <c r="E36">
        <v>0</v>
      </c>
      <c r="F36">
        <v>352</v>
      </c>
      <c r="G36">
        <v>1</v>
      </c>
      <c r="H36">
        <v>0</v>
      </c>
    </row>
    <row r="37" spans="1:8" x14ac:dyDescent="0.25">
      <c r="A37">
        <v>43847704.343301974</v>
      </c>
      <c r="B37">
        <v>533.5</v>
      </c>
      <c r="C37">
        <v>0</v>
      </c>
      <c r="D37">
        <v>31</v>
      </c>
      <c r="E37">
        <v>0</v>
      </c>
      <c r="F37">
        <v>304</v>
      </c>
      <c r="G37">
        <v>0</v>
      </c>
      <c r="H37">
        <v>0</v>
      </c>
    </row>
    <row r="38" spans="1:8" x14ac:dyDescent="0.25">
      <c r="A38">
        <v>46204975.632565685</v>
      </c>
      <c r="B38">
        <v>624.4</v>
      </c>
      <c r="C38">
        <v>0</v>
      </c>
      <c r="D38">
        <v>31</v>
      </c>
      <c r="E38">
        <v>0</v>
      </c>
      <c r="F38">
        <v>352</v>
      </c>
      <c r="G38">
        <v>0</v>
      </c>
      <c r="H38">
        <v>0</v>
      </c>
    </row>
    <row r="39" spans="1:8" x14ac:dyDescent="0.25">
      <c r="A39">
        <v>42220875.744019635</v>
      </c>
      <c r="B39">
        <v>631.5</v>
      </c>
      <c r="C39">
        <v>0</v>
      </c>
      <c r="D39">
        <v>28</v>
      </c>
      <c r="E39">
        <v>0</v>
      </c>
      <c r="F39">
        <v>304</v>
      </c>
      <c r="G39">
        <v>0</v>
      </c>
      <c r="H39">
        <v>0</v>
      </c>
    </row>
    <row r="40" spans="1:8" x14ac:dyDescent="0.25">
      <c r="A40">
        <v>43747060.287194811</v>
      </c>
      <c r="B40">
        <v>554.79999999999995</v>
      </c>
      <c r="C40">
        <v>0</v>
      </c>
      <c r="D40">
        <v>31</v>
      </c>
      <c r="E40">
        <v>1</v>
      </c>
      <c r="F40">
        <v>320</v>
      </c>
      <c r="G40">
        <v>0</v>
      </c>
      <c r="H40">
        <v>0</v>
      </c>
    </row>
    <row r="41" spans="1:8" x14ac:dyDescent="0.25">
      <c r="A41">
        <v>41050884.019543432</v>
      </c>
      <c r="B41">
        <v>358.6</v>
      </c>
      <c r="C41">
        <v>0</v>
      </c>
      <c r="D41">
        <v>30</v>
      </c>
      <c r="E41">
        <v>1</v>
      </c>
      <c r="F41">
        <v>352</v>
      </c>
      <c r="G41">
        <v>0</v>
      </c>
      <c r="H41">
        <v>0</v>
      </c>
    </row>
    <row r="42" spans="1:8" x14ac:dyDescent="0.25">
      <c r="A42">
        <v>41598818.760423541</v>
      </c>
      <c r="B42">
        <v>109.1</v>
      </c>
      <c r="C42">
        <v>23.1</v>
      </c>
      <c r="D42">
        <v>31</v>
      </c>
      <c r="E42">
        <v>1</v>
      </c>
      <c r="F42">
        <v>352</v>
      </c>
      <c r="G42">
        <v>0</v>
      </c>
      <c r="H42">
        <v>0</v>
      </c>
    </row>
    <row r="43" spans="1:8" x14ac:dyDescent="0.25">
      <c r="A43">
        <v>44448509.68145439</v>
      </c>
      <c r="B43">
        <v>33</v>
      </c>
      <c r="C43">
        <v>59.6</v>
      </c>
      <c r="D43">
        <v>30</v>
      </c>
      <c r="E43">
        <v>0</v>
      </c>
      <c r="F43">
        <v>320</v>
      </c>
      <c r="G43">
        <v>0</v>
      </c>
      <c r="H43">
        <v>0</v>
      </c>
    </row>
    <row r="44" spans="1:8" x14ac:dyDescent="0.25">
      <c r="A44">
        <v>50496677.449903317</v>
      </c>
      <c r="B44">
        <v>1.3</v>
      </c>
      <c r="C44">
        <v>120.8</v>
      </c>
      <c r="D44">
        <v>31</v>
      </c>
      <c r="E44">
        <v>0</v>
      </c>
      <c r="F44">
        <v>352</v>
      </c>
      <c r="G44">
        <v>0</v>
      </c>
      <c r="H44">
        <v>0</v>
      </c>
    </row>
    <row r="45" spans="1:8" x14ac:dyDescent="0.25">
      <c r="A45">
        <v>47743400.676583149</v>
      </c>
      <c r="B45">
        <v>4.4000000000000004</v>
      </c>
      <c r="C45">
        <v>93.8</v>
      </c>
      <c r="D45">
        <v>31</v>
      </c>
      <c r="E45">
        <v>0</v>
      </c>
      <c r="F45">
        <v>320</v>
      </c>
      <c r="G45">
        <v>0</v>
      </c>
      <c r="H45">
        <v>1</v>
      </c>
    </row>
    <row r="46" spans="1:8" x14ac:dyDescent="0.25">
      <c r="A46">
        <v>42819992.163056076</v>
      </c>
      <c r="B46">
        <v>83</v>
      </c>
      <c r="C46">
        <v>28.1</v>
      </c>
      <c r="D46">
        <v>30</v>
      </c>
      <c r="E46">
        <v>0</v>
      </c>
      <c r="F46">
        <v>320</v>
      </c>
      <c r="G46">
        <v>1</v>
      </c>
      <c r="H46">
        <v>1</v>
      </c>
    </row>
    <row r="47" spans="1:8" x14ac:dyDescent="0.25">
      <c r="A47">
        <v>43468622.633799613</v>
      </c>
      <c r="B47">
        <v>208.5</v>
      </c>
      <c r="C47">
        <v>0.4</v>
      </c>
      <c r="D47">
        <v>31</v>
      </c>
      <c r="E47">
        <v>0</v>
      </c>
      <c r="F47">
        <v>352</v>
      </c>
      <c r="G47">
        <v>1</v>
      </c>
      <c r="H47">
        <v>1</v>
      </c>
    </row>
    <row r="48" spans="1:8" x14ac:dyDescent="0.25">
      <c r="A48">
        <v>45464562.514413603</v>
      </c>
      <c r="B48">
        <v>478.2</v>
      </c>
      <c r="C48">
        <v>0</v>
      </c>
      <c r="D48">
        <v>30</v>
      </c>
      <c r="E48">
        <v>0</v>
      </c>
      <c r="F48">
        <v>320</v>
      </c>
      <c r="G48">
        <v>1</v>
      </c>
      <c r="H48">
        <v>1</v>
      </c>
    </row>
    <row r="49" spans="1:8" x14ac:dyDescent="0.25">
      <c r="A49">
        <v>46385121.026941366</v>
      </c>
      <c r="B49">
        <v>687.9</v>
      </c>
      <c r="C49">
        <v>0</v>
      </c>
      <c r="D49">
        <v>31</v>
      </c>
      <c r="E49">
        <v>0</v>
      </c>
      <c r="F49">
        <v>320</v>
      </c>
      <c r="G49">
        <v>0</v>
      </c>
      <c r="H49">
        <v>1</v>
      </c>
    </row>
    <row r="50" spans="1:8" x14ac:dyDescent="0.25">
      <c r="A50">
        <v>51390707.196665987</v>
      </c>
      <c r="B50">
        <v>825.9</v>
      </c>
      <c r="C50">
        <v>0</v>
      </c>
      <c r="D50">
        <v>31</v>
      </c>
      <c r="E50">
        <v>0</v>
      </c>
      <c r="F50">
        <v>352</v>
      </c>
      <c r="G50">
        <v>0</v>
      </c>
      <c r="H50">
        <v>1</v>
      </c>
    </row>
    <row r="51" spans="1:8" x14ac:dyDescent="0.25">
      <c r="A51">
        <v>45243862.624583691</v>
      </c>
      <c r="B51">
        <v>737.1</v>
      </c>
      <c r="C51">
        <v>0</v>
      </c>
      <c r="D51">
        <v>28</v>
      </c>
      <c r="E51">
        <v>0</v>
      </c>
      <c r="F51">
        <v>304</v>
      </c>
      <c r="G51">
        <v>0</v>
      </c>
      <c r="H51">
        <v>1</v>
      </c>
    </row>
    <row r="52" spans="1:8" x14ac:dyDescent="0.25">
      <c r="A52">
        <v>47597568.497494519</v>
      </c>
      <c r="B52">
        <v>690.6</v>
      </c>
      <c r="C52">
        <v>0</v>
      </c>
      <c r="D52">
        <v>31</v>
      </c>
      <c r="E52">
        <v>1</v>
      </c>
      <c r="F52">
        <v>336</v>
      </c>
      <c r="G52">
        <v>0</v>
      </c>
      <c r="H52">
        <v>1</v>
      </c>
    </row>
    <row r="53" spans="1:8" x14ac:dyDescent="0.25">
      <c r="A53">
        <v>42076910.441469923</v>
      </c>
      <c r="B53">
        <v>356.9</v>
      </c>
      <c r="C53">
        <v>0</v>
      </c>
      <c r="D53">
        <v>30</v>
      </c>
      <c r="E53">
        <v>1</v>
      </c>
      <c r="F53">
        <v>336</v>
      </c>
      <c r="G53">
        <v>0</v>
      </c>
      <c r="H53">
        <v>1</v>
      </c>
    </row>
    <row r="54" spans="1:8" x14ac:dyDescent="0.25">
      <c r="A54">
        <v>41723387.059021071</v>
      </c>
      <c r="B54">
        <v>132.1</v>
      </c>
      <c r="C54">
        <v>11.9</v>
      </c>
      <c r="D54">
        <v>31</v>
      </c>
      <c r="E54">
        <v>1</v>
      </c>
      <c r="F54">
        <v>336</v>
      </c>
      <c r="G54">
        <v>0</v>
      </c>
      <c r="H54">
        <v>1</v>
      </c>
    </row>
    <row r="55" spans="1:8" x14ac:dyDescent="0.25">
      <c r="A55">
        <v>46021476.155939944</v>
      </c>
      <c r="B55">
        <v>14.1</v>
      </c>
      <c r="C55">
        <v>68.099999999999994</v>
      </c>
      <c r="D55">
        <v>30</v>
      </c>
      <c r="E55">
        <v>0</v>
      </c>
      <c r="F55">
        <v>336</v>
      </c>
      <c r="G55">
        <v>0</v>
      </c>
      <c r="H55">
        <v>1</v>
      </c>
    </row>
    <row r="56" spans="1:8" x14ac:dyDescent="0.25">
      <c r="A56">
        <v>47575184.551523499</v>
      </c>
      <c r="B56">
        <v>4</v>
      </c>
      <c r="C56">
        <v>71</v>
      </c>
      <c r="D56">
        <v>31</v>
      </c>
      <c r="E56">
        <v>0</v>
      </c>
      <c r="F56">
        <v>352</v>
      </c>
      <c r="G56">
        <v>0</v>
      </c>
      <c r="H56">
        <v>1</v>
      </c>
    </row>
    <row r="57" spans="1:8" x14ac:dyDescent="0.25">
      <c r="A57">
        <v>46786892.913119972</v>
      </c>
      <c r="B57">
        <v>8.8000000000000007</v>
      </c>
      <c r="C57">
        <v>81.8</v>
      </c>
      <c r="D57">
        <v>31</v>
      </c>
      <c r="E57">
        <v>0</v>
      </c>
      <c r="F57">
        <v>320</v>
      </c>
      <c r="G57">
        <v>0</v>
      </c>
      <c r="H57">
        <v>1</v>
      </c>
    </row>
    <row r="58" spans="1:8" x14ac:dyDescent="0.25">
      <c r="A58">
        <v>43658140.404098302</v>
      </c>
      <c r="B58">
        <v>69.7</v>
      </c>
      <c r="C58">
        <v>30.1</v>
      </c>
      <c r="D58">
        <v>30</v>
      </c>
      <c r="E58">
        <v>0</v>
      </c>
      <c r="F58">
        <v>336</v>
      </c>
      <c r="G58">
        <v>1</v>
      </c>
      <c r="H58">
        <v>1</v>
      </c>
    </row>
    <row r="59" spans="1:8" x14ac:dyDescent="0.25">
      <c r="A59">
        <v>43081781.345447332</v>
      </c>
      <c r="B59">
        <v>224.3</v>
      </c>
      <c r="C59">
        <v>1.3</v>
      </c>
      <c r="D59">
        <v>31</v>
      </c>
      <c r="E59">
        <v>0</v>
      </c>
      <c r="F59">
        <v>352</v>
      </c>
      <c r="G59">
        <v>1</v>
      </c>
      <c r="H59">
        <v>1</v>
      </c>
    </row>
    <row r="60" spans="1:8" x14ac:dyDescent="0.25">
      <c r="A60">
        <v>45540611.7584197</v>
      </c>
      <c r="B60">
        <v>482.1</v>
      </c>
      <c r="C60">
        <v>0</v>
      </c>
      <c r="D60">
        <v>30</v>
      </c>
      <c r="E60">
        <v>0</v>
      </c>
      <c r="F60">
        <v>320</v>
      </c>
      <c r="G60">
        <v>1</v>
      </c>
      <c r="H60">
        <v>1</v>
      </c>
    </row>
    <row r="61" spans="1:8" x14ac:dyDescent="0.25">
      <c r="A61">
        <v>48184853.326542445</v>
      </c>
      <c r="B61">
        <v>557.29999999999995</v>
      </c>
      <c r="C61">
        <v>0</v>
      </c>
      <c r="D61">
        <v>31</v>
      </c>
      <c r="E61">
        <v>0</v>
      </c>
      <c r="F61">
        <v>336</v>
      </c>
      <c r="G61">
        <v>0</v>
      </c>
      <c r="H61">
        <v>1</v>
      </c>
    </row>
    <row r="62" spans="1:8" x14ac:dyDescent="0.25">
      <c r="A62">
        <v>50468148.882977873</v>
      </c>
      <c r="B62">
        <v>792.39999999999975</v>
      </c>
      <c r="C62">
        <v>0</v>
      </c>
      <c r="D62">
        <v>31</v>
      </c>
      <c r="E62">
        <v>0</v>
      </c>
      <c r="F62">
        <v>336</v>
      </c>
      <c r="G62">
        <v>0</v>
      </c>
      <c r="H62">
        <v>1</v>
      </c>
    </row>
    <row r="63" spans="1:8" x14ac:dyDescent="0.25">
      <c r="A63">
        <v>47402747.270245194</v>
      </c>
      <c r="B63">
        <v>856.8</v>
      </c>
      <c r="C63">
        <v>0</v>
      </c>
      <c r="D63">
        <v>28</v>
      </c>
      <c r="E63">
        <v>0</v>
      </c>
      <c r="F63">
        <v>304</v>
      </c>
      <c r="G63">
        <v>0</v>
      </c>
      <c r="H63">
        <v>1</v>
      </c>
    </row>
    <row r="64" spans="1:8" x14ac:dyDescent="0.25">
      <c r="A64">
        <v>46835675.454155654</v>
      </c>
      <c r="B64">
        <v>615.49999999999989</v>
      </c>
      <c r="C64">
        <v>0</v>
      </c>
      <c r="D64">
        <v>31</v>
      </c>
      <c r="E64">
        <v>1</v>
      </c>
      <c r="F64">
        <v>352</v>
      </c>
      <c r="G64">
        <v>0</v>
      </c>
      <c r="H64">
        <v>1</v>
      </c>
    </row>
    <row r="65" spans="1:8" x14ac:dyDescent="0.25">
      <c r="A65">
        <v>41528758.758546434</v>
      </c>
      <c r="B65">
        <v>313.7</v>
      </c>
      <c r="C65">
        <v>0</v>
      </c>
      <c r="D65">
        <v>30</v>
      </c>
      <c r="E65">
        <v>1</v>
      </c>
      <c r="F65">
        <v>336</v>
      </c>
      <c r="G65">
        <v>0</v>
      </c>
      <c r="H65">
        <v>1</v>
      </c>
    </row>
    <row r="66" spans="1:8" x14ac:dyDescent="0.25">
      <c r="A66">
        <v>43181074.337081581</v>
      </c>
      <c r="B66">
        <v>89.3</v>
      </c>
      <c r="C66">
        <v>34.1</v>
      </c>
      <c r="D66">
        <v>31</v>
      </c>
      <c r="E66">
        <v>1</v>
      </c>
      <c r="F66">
        <v>320</v>
      </c>
      <c r="G66">
        <v>0</v>
      </c>
      <c r="H66">
        <v>1</v>
      </c>
    </row>
    <row r="67" spans="1:8" x14ac:dyDescent="0.25">
      <c r="A67">
        <v>44110704.025427677</v>
      </c>
      <c r="B67">
        <v>33.800000000000004</v>
      </c>
      <c r="C67">
        <v>32.299999999999997</v>
      </c>
      <c r="D67">
        <v>30</v>
      </c>
      <c r="E67">
        <v>0</v>
      </c>
      <c r="F67">
        <v>352</v>
      </c>
      <c r="G67">
        <v>0</v>
      </c>
      <c r="H67">
        <v>1</v>
      </c>
    </row>
    <row r="68" spans="1:8" x14ac:dyDescent="0.25">
      <c r="A68">
        <v>50407040.424099796</v>
      </c>
      <c r="B68">
        <v>4</v>
      </c>
      <c r="C68">
        <v>114.29999999999998</v>
      </c>
      <c r="D68">
        <v>31</v>
      </c>
      <c r="E68">
        <v>0</v>
      </c>
      <c r="F68">
        <v>352</v>
      </c>
      <c r="G68">
        <v>0</v>
      </c>
      <c r="H68">
        <v>1</v>
      </c>
    </row>
    <row r="69" spans="1:8" x14ac:dyDescent="0.25">
      <c r="A69">
        <v>47672475.701872572</v>
      </c>
      <c r="B69">
        <v>4.4000000000000004</v>
      </c>
      <c r="C69">
        <v>88.6</v>
      </c>
      <c r="D69">
        <v>31</v>
      </c>
      <c r="E69">
        <v>0</v>
      </c>
      <c r="F69">
        <v>320</v>
      </c>
      <c r="G69">
        <v>0</v>
      </c>
      <c r="H69">
        <v>1</v>
      </c>
    </row>
    <row r="70" spans="1:8" x14ac:dyDescent="0.25">
      <c r="A70">
        <v>46473044.13178461</v>
      </c>
      <c r="B70">
        <v>31.099999999999994</v>
      </c>
      <c r="C70">
        <v>81.900000000000006</v>
      </c>
      <c r="D70">
        <v>30</v>
      </c>
      <c r="E70">
        <v>0</v>
      </c>
      <c r="F70">
        <v>336</v>
      </c>
      <c r="G70">
        <v>1</v>
      </c>
      <c r="H70">
        <v>1</v>
      </c>
    </row>
    <row r="71" spans="1:8" x14ac:dyDescent="0.25">
      <c r="A71">
        <v>42161053.898271002</v>
      </c>
      <c r="B71">
        <v>249.8</v>
      </c>
      <c r="C71">
        <v>0</v>
      </c>
      <c r="D71">
        <v>31</v>
      </c>
      <c r="E71">
        <v>0</v>
      </c>
      <c r="F71">
        <v>336</v>
      </c>
      <c r="G71">
        <v>1</v>
      </c>
      <c r="H71">
        <v>1</v>
      </c>
    </row>
    <row r="72" spans="1:8" x14ac:dyDescent="0.25">
      <c r="A72">
        <v>42164967.485942058</v>
      </c>
      <c r="B72">
        <v>345</v>
      </c>
      <c r="C72">
        <v>0</v>
      </c>
      <c r="D72">
        <v>30</v>
      </c>
      <c r="E72">
        <v>0</v>
      </c>
      <c r="F72">
        <v>336</v>
      </c>
      <c r="G72">
        <v>1</v>
      </c>
      <c r="H72">
        <v>1</v>
      </c>
    </row>
    <row r="73" spans="1:8" x14ac:dyDescent="0.25">
      <c r="A73">
        <v>44119269.509202957</v>
      </c>
      <c r="B73">
        <v>429.70000000000005</v>
      </c>
      <c r="C73">
        <v>0</v>
      </c>
      <c r="D73">
        <v>31</v>
      </c>
      <c r="E73">
        <v>0</v>
      </c>
      <c r="F73">
        <v>336</v>
      </c>
      <c r="G73">
        <v>0</v>
      </c>
      <c r="H73">
        <v>1</v>
      </c>
    </row>
    <row r="74" spans="1:8" x14ac:dyDescent="0.25">
      <c r="A74">
        <v>47355443.421284854</v>
      </c>
      <c r="B74">
        <v>670.4</v>
      </c>
      <c r="C74">
        <v>0</v>
      </c>
      <c r="D74">
        <v>31</v>
      </c>
      <c r="E74">
        <v>0</v>
      </c>
      <c r="F74">
        <v>336</v>
      </c>
      <c r="G74">
        <v>0</v>
      </c>
      <c r="H74">
        <v>1</v>
      </c>
    </row>
    <row r="75" spans="1:8" x14ac:dyDescent="0.25">
      <c r="A75">
        <v>43608012.041308671</v>
      </c>
      <c r="B75">
        <v>588.4</v>
      </c>
      <c r="C75">
        <v>0</v>
      </c>
      <c r="D75">
        <v>29</v>
      </c>
      <c r="E75">
        <v>0</v>
      </c>
      <c r="F75">
        <v>320</v>
      </c>
      <c r="G75">
        <v>0</v>
      </c>
      <c r="H75">
        <v>1</v>
      </c>
    </row>
    <row r="76" spans="1:8" x14ac:dyDescent="0.25">
      <c r="A76">
        <v>43512343.005344182</v>
      </c>
      <c r="B76">
        <v>476.0999999999998</v>
      </c>
      <c r="C76">
        <v>0</v>
      </c>
      <c r="D76">
        <v>31</v>
      </c>
      <c r="E76">
        <v>1</v>
      </c>
      <c r="F76">
        <v>352</v>
      </c>
      <c r="G76">
        <v>0</v>
      </c>
      <c r="H76">
        <v>1</v>
      </c>
    </row>
    <row r="77" spans="1:8" x14ac:dyDescent="0.25">
      <c r="A77">
        <v>41578227.672913745</v>
      </c>
      <c r="B77">
        <v>394.8</v>
      </c>
      <c r="C77">
        <v>0</v>
      </c>
      <c r="D77">
        <v>30</v>
      </c>
      <c r="E77">
        <v>1</v>
      </c>
      <c r="F77">
        <v>336</v>
      </c>
      <c r="G77">
        <v>0</v>
      </c>
      <c r="H77">
        <v>1</v>
      </c>
    </row>
    <row r="78" spans="1:8" x14ac:dyDescent="0.25">
      <c r="A78">
        <v>42943233.060028739</v>
      </c>
      <c r="B78">
        <v>142.50000000000003</v>
      </c>
      <c r="C78">
        <v>36.9</v>
      </c>
      <c r="D78">
        <v>31</v>
      </c>
      <c r="E78">
        <v>1</v>
      </c>
      <c r="F78">
        <v>320</v>
      </c>
      <c r="G78">
        <v>0</v>
      </c>
      <c r="H78">
        <v>1</v>
      </c>
    </row>
    <row r="79" spans="1:8" x14ac:dyDescent="0.25">
      <c r="A79">
        <v>46383418.093289711</v>
      </c>
      <c r="B79">
        <v>24.200000000000003</v>
      </c>
      <c r="C79">
        <v>83.7</v>
      </c>
      <c r="D79">
        <v>30</v>
      </c>
      <c r="E79">
        <v>0</v>
      </c>
      <c r="F79">
        <v>352</v>
      </c>
      <c r="G79">
        <v>0</v>
      </c>
      <c r="H79">
        <v>1</v>
      </c>
    </row>
    <row r="80" spans="1:8" x14ac:dyDescent="0.25">
      <c r="A80">
        <v>52573588.196430437</v>
      </c>
      <c r="B80">
        <v>0</v>
      </c>
      <c r="C80">
        <v>176.89999999999998</v>
      </c>
      <c r="D80">
        <v>31</v>
      </c>
      <c r="E80">
        <v>0</v>
      </c>
      <c r="F80">
        <v>352</v>
      </c>
      <c r="G80">
        <v>0</v>
      </c>
      <c r="H80">
        <v>1</v>
      </c>
    </row>
    <row r="81" spans="1:8" x14ac:dyDescent="0.25">
      <c r="A81">
        <v>54712952.997396529</v>
      </c>
      <c r="B81">
        <v>0</v>
      </c>
      <c r="C81">
        <v>195.4</v>
      </c>
      <c r="D81">
        <v>31</v>
      </c>
      <c r="E81">
        <v>0</v>
      </c>
      <c r="F81">
        <v>320</v>
      </c>
      <c r="G81">
        <v>0</v>
      </c>
      <c r="H81">
        <v>1</v>
      </c>
    </row>
    <row r="82" spans="1:8" x14ac:dyDescent="0.25">
      <c r="A82">
        <v>45256656.292692408</v>
      </c>
      <c r="B82">
        <v>25.900000000000006</v>
      </c>
      <c r="C82">
        <v>69.400000000000006</v>
      </c>
      <c r="D82">
        <v>30</v>
      </c>
      <c r="E82">
        <v>0</v>
      </c>
      <c r="F82">
        <v>336</v>
      </c>
      <c r="G82">
        <v>1</v>
      </c>
      <c r="H82">
        <v>1</v>
      </c>
    </row>
    <row r="83" spans="1:8" x14ac:dyDescent="0.25">
      <c r="A83">
        <v>42056044.996841326</v>
      </c>
      <c r="B83">
        <v>194.20000000000002</v>
      </c>
      <c r="C83">
        <v>4.0999999999999996</v>
      </c>
      <c r="D83">
        <v>31</v>
      </c>
      <c r="E83">
        <v>0</v>
      </c>
      <c r="F83">
        <v>336</v>
      </c>
      <c r="G83">
        <v>1</v>
      </c>
      <c r="H83">
        <v>1</v>
      </c>
    </row>
    <row r="84" spans="1:8" x14ac:dyDescent="0.25">
      <c r="A84">
        <v>42156032.453320444</v>
      </c>
      <c r="B84">
        <v>337.80000000000007</v>
      </c>
      <c r="C84">
        <v>0</v>
      </c>
      <c r="D84">
        <v>30</v>
      </c>
      <c r="E84">
        <v>0</v>
      </c>
      <c r="F84">
        <v>336</v>
      </c>
      <c r="G84">
        <v>1</v>
      </c>
      <c r="H84">
        <v>1</v>
      </c>
    </row>
    <row r="85" spans="1:8" x14ac:dyDescent="0.25">
      <c r="A85">
        <v>46766272.285530873</v>
      </c>
      <c r="B85">
        <v>607.99999999999989</v>
      </c>
      <c r="C85">
        <v>0</v>
      </c>
      <c r="D85">
        <v>31</v>
      </c>
      <c r="E85">
        <v>0</v>
      </c>
      <c r="F85">
        <v>336</v>
      </c>
      <c r="G85">
        <v>0</v>
      </c>
      <c r="H85">
        <v>1</v>
      </c>
    </row>
    <row r="86" spans="1:8" x14ac:dyDescent="0.25">
      <c r="A86">
        <v>46462378.697983809</v>
      </c>
      <c r="B86">
        <v>608.9</v>
      </c>
      <c r="C86">
        <v>0</v>
      </c>
      <c r="D86">
        <v>31</v>
      </c>
      <c r="E86">
        <v>0</v>
      </c>
      <c r="F86">
        <v>336</v>
      </c>
      <c r="G86">
        <v>0</v>
      </c>
      <c r="H86">
        <v>1</v>
      </c>
    </row>
    <row r="87" spans="1:8" x14ac:dyDescent="0.25">
      <c r="A87">
        <v>40853734.431535572</v>
      </c>
      <c r="B87">
        <v>510.4</v>
      </c>
      <c r="C87">
        <v>0</v>
      </c>
      <c r="D87">
        <v>28</v>
      </c>
      <c r="E87">
        <v>0</v>
      </c>
      <c r="F87">
        <v>304</v>
      </c>
      <c r="G87">
        <v>0</v>
      </c>
      <c r="H87">
        <v>1</v>
      </c>
    </row>
    <row r="88" spans="1:8" x14ac:dyDescent="0.25">
      <c r="A88">
        <v>45346170.869116999</v>
      </c>
      <c r="B88">
        <v>574</v>
      </c>
      <c r="C88">
        <v>0</v>
      </c>
      <c r="D88">
        <v>31</v>
      </c>
      <c r="E88">
        <v>1</v>
      </c>
      <c r="F88">
        <v>368</v>
      </c>
      <c r="G88">
        <v>0</v>
      </c>
      <c r="H88">
        <v>1</v>
      </c>
    </row>
    <row r="89" spans="1:8" x14ac:dyDescent="0.25">
      <c r="A89">
        <v>39615800.008289859</v>
      </c>
      <c r="B89">
        <v>257.49999999999994</v>
      </c>
      <c r="C89">
        <v>0</v>
      </c>
      <c r="D89">
        <v>30</v>
      </c>
      <c r="E89">
        <v>1</v>
      </c>
      <c r="F89">
        <v>304</v>
      </c>
      <c r="G89">
        <v>0</v>
      </c>
      <c r="H89">
        <v>1</v>
      </c>
    </row>
    <row r="90" spans="1:8" x14ac:dyDescent="0.25">
      <c r="A90">
        <v>40545426.099053636</v>
      </c>
      <c r="B90">
        <v>177</v>
      </c>
      <c r="C90">
        <v>9</v>
      </c>
      <c r="D90">
        <v>31</v>
      </c>
      <c r="E90">
        <v>1</v>
      </c>
      <c r="F90">
        <v>352</v>
      </c>
      <c r="G90">
        <v>0</v>
      </c>
      <c r="H90">
        <v>1</v>
      </c>
    </row>
    <row r="91" spans="1:8" x14ac:dyDescent="0.25">
      <c r="A91">
        <v>44153544.595142253</v>
      </c>
      <c r="B91">
        <v>26.699999999999996</v>
      </c>
      <c r="C91">
        <v>68.2</v>
      </c>
      <c r="D91">
        <v>30</v>
      </c>
      <c r="E91">
        <v>0</v>
      </c>
      <c r="F91">
        <v>352</v>
      </c>
      <c r="G91">
        <v>0</v>
      </c>
      <c r="H91">
        <v>1</v>
      </c>
    </row>
    <row r="92" spans="1:8" x14ac:dyDescent="0.25">
      <c r="A92">
        <v>48339999.984619439</v>
      </c>
      <c r="B92">
        <v>0</v>
      </c>
      <c r="C92">
        <v>116.49999999999999</v>
      </c>
      <c r="D92">
        <v>31</v>
      </c>
      <c r="E92">
        <v>0</v>
      </c>
      <c r="F92">
        <v>320</v>
      </c>
      <c r="G92">
        <v>0</v>
      </c>
      <c r="H92">
        <v>1</v>
      </c>
    </row>
    <row r="93" spans="1:8" x14ac:dyDescent="0.25">
      <c r="A93">
        <v>46475634.162889175</v>
      </c>
      <c r="B93">
        <v>11.6</v>
      </c>
      <c r="C93">
        <v>75.2</v>
      </c>
      <c r="D93">
        <v>31</v>
      </c>
      <c r="E93">
        <v>0</v>
      </c>
      <c r="F93">
        <v>352</v>
      </c>
      <c r="G93">
        <v>0</v>
      </c>
      <c r="H93">
        <v>1</v>
      </c>
    </row>
    <row r="94" spans="1:8" x14ac:dyDescent="0.25">
      <c r="A94">
        <v>43561662.291493662</v>
      </c>
      <c r="B94">
        <v>49.1</v>
      </c>
      <c r="C94">
        <v>71.499999999999986</v>
      </c>
      <c r="D94">
        <v>30</v>
      </c>
      <c r="E94">
        <v>0</v>
      </c>
      <c r="F94">
        <v>320</v>
      </c>
      <c r="G94">
        <v>1</v>
      </c>
      <c r="H94">
        <v>1</v>
      </c>
    </row>
    <row r="95" spans="1:8" x14ac:dyDescent="0.25">
      <c r="A95">
        <v>41020441.180942371</v>
      </c>
      <c r="B95">
        <v>153.99999999999997</v>
      </c>
      <c r="C95">
        <v>8.1</v>
      </c>
      <c r="D95">
        <v>31</v>
      </c>
      <c r="E95">
        <v>0</v>
      </c>
      <c r="F95">
        <v>336</v>
      </c>
      <c r="G95">
        <v>1</v>
      </c>
      <c r="H95">
        <v>1</v>
      </c>
    </row>
    <row r="96" spans="1:8" x14ac:dyDescent="0.25">
      <c r="A96">
        <v>43156345.1971559</v>
      </c>
      <c r="B96">
        <v>414.2</v>
      </c>
      <c r="C96">
        <v>0</v>
      </c>
      <c r="D96">
        <v>30</v>
      </c>
      <c r="E96">
        <v>0</v>
      </c>
      <c r="F96">
        <v>352</v>
      </c>
      <c r="G96">
        <v>1</v>
      </c>
      <c r="H96">
        <v>1</v>
      </c>
    </row>
    <row r="97" spans="1:8" x14ac:dyDescent="0.25">
      <c r="A97">
        <v>47964984.85781648</v>
      </c>
      <c r="B97">
        <v>718.49999999999989</v>
      </c>
      <c r="C97">
        <v>0</v>
      </c>
      <c r="D97">
        <v>31</v>
      </c>
      <c r="E97">
        <v>0</v>
      </c>
      <c r="F97">
        <v>304</v>
      </c>
      <c r="G97">
        <v>0</v>
      </c>
      <c r="H97">
        <v>1</v>
      </c>
    </row>
    <row r="98" spans="1:8" x14ac:dyDescent="0.25">
      <c r="A98">
        <v>48948229.212414093</v>
      </c>
      <c r="B98">
        <v>732.29999999999984</v>
      </c>
      <c r="C98">
        <v>0</v>
      </c>
      <c r="D98">
        <v>31</v>
      </c>
      <c r="E98">
        <v>0</v>
      </c>
      <c r="F98">
        <v>352</v>
      </c>
      <c r="G98">
        <v>0</v>
      </c>
      <c r="H98">
        <v>1</v>
      </c>
    </row>
    <row r="99" spans="1:8" x14ac:dyDescent="0.25">
      <c r="A99">
        <v>42260117.680146471</v>
      </c>
      <c r="B99">
        <v>555.00000000000023</v>
      </c>
      <c r="C99">
        <v>0</v>
      </c>
      <c r="D99">
        <v>28</v>
      </c>
      <c r="E99">
        <v>0</v>
      </c>
      <c r="F99">
        <v>304</v>
      </c>
      <c r="G99">
        <v>0</v>
      </c>
      <c r="H99">
        <v>1</v>
      </c>
    </row>
    <row r="100" spans="1:8" x14ac:dyDescent="0.25">
      <c r="A100">
        <v>44545299.259667501</v>
      </c>
      <c r="B100">
        <v>553.99999999999989</v>
      </c>
      <c r="C100">
        <v>0</v>
      </c>
      <c r="D100">
        <v>31</v>
      </c>
      <c r="E100">
        <v>1</v>
      </c>
      <c r="F100">
        <v>336</v>
      </c>
      <c r="G100">
        <v>0</v>
      </c>
      <c r="H100">
        <v>1</v>
      </c>
    </row>
    <row r="101" spans="1:8" x14ac:dyDescent="0.25">
      <c r="A101">
        <v>42441726.904285304</v>
      </c>
      <c r="B101">
        <v>437.20000000000005</v>
      </c>
      <c r="C101">
        <v>0</v>
      </c>
      <c r="D101">
        <v>30</v>
      </c>
      <c r="E101">
        <v>1</v>
      </c>
      <c r="F101">
        <v>336</v>
      </c>
      <c r="G101">
        <v>0</v>
      </c>
      <c r="H101">
        <v>1</v>
      </c>
    </row>
    <row r="102" spans="1:8" x14ac:dyDescent="0.25">
      <c r="A102">
        <v>43166424.101409592</v>
      </c>
      <c r="B102">
        <v>75.3</v>
      </c>
      <c r="C102">
        <v>43.4</v>
      </c>
      <c r="D102">
        <v>31</v>
      </c>
      <c r="E102">
        <v>1</v>
      </c>
      <c r="F102">
        <v>352</v>
      </c>
      <c r="G102">
        <v>0</v>
      </c>
      <c r="H102">
        <v>1</v>
      </c>
    </row>
    <row r="103" spans="1:8" x14ac:dyDescent="0.25">
      <c r="A103">
        <v>45644408.15574418</v>
      </c>
      <c r="B103">
        <v>14.799999999999999</v>
      </c>
      <c r="C103">
        <v>60.5</v>
      </c>
      <c r="D103">
        <v>30</v>
      </c>
      <c r="E103">
        <v>0</v>
      </c>
      <c r="F103">
        <v>336</v>
      </c>
      <c r="G103">
        <v>0</v>
      </c>
      <c r="H103">
        <v>1</v>
      </c>
    </row>
    <row r="104" spans="1:8" x14ac:dyDescent="0.25">
      <c r="A104">
        <v>52625106.373703048</v>
      </c>
      <c r="B104">
        <v>0</v>
      </c>
      <c r="C104">
        <v>167.8</v>
      </c>
      <c r="D104">
        <v>31</v>
      </c>
      <c r="E104">
        <v>0</v>
      </c>
      <c r="F104">
        <v>336</v>
      </c>
      <c r="G104">
        <v>0</v>
      </c>
      <c r="H104">
        <v>1</v>
      </c>
    </row>
    <row r="105" spans="1:8" x14ac:dyDescent="0.25">
      <c r="A105">
        <v>51853068.876182154</v>
      </c>
      <c r="B105">
        <v>1.2</v>
      </c>
      <c r="C105">
        <v>162.4</v>
      </c>
      <c r="D105">
        <v>31</v>
      </c>
      <c r="E105">
        <v>0</v>
      </c>
      <c r="F105">
        <v>352</v>
      </c>
      <c r="G105">
        <v>0</v>
      </c>
      <c r="H105">
        <v>1</v>
      </c>
    </row>
    <row r="106" spans="1:8" x14ac:dyDescent="0.25">
      <c r="A106">
        <v>45323391.585683309</v>
      </c>
      <c r="B106">
        <v>41.399999999999991</v>
      </c>
      <c r="C106">
        <v>76.399999999999977</v>
      </c>
      <c r="D106">
        <v>30</v>
      </c>
      <c r="E106">
        <v>0</v>
      </c>
      <c r="F106">
        <v>304</v>
      </c>
      <c r="G106">
        <v>1</v>
      </c>
      <c r="H106">
        <v>1</v>
      </c>
    </row>
    <row r="107" spans="1:8" x14ac:dyDescent="0.25">
      <c r="A107">
        <v>42774657.860498592</v>
      </c>
      <c r="B107">
        <v>289.40000000000003</v>
      </c>
      <c r="C107">
        <v>8.1999999999999993</v>
      </c>
      <c r="D107">
        <v>31</v>
      </c>
      <c r="E107">
        <v>0</v>
      </c>
      <c r="F107">
        <v>352</v>
      </c>
      <c r="G107">
        <v>1</v>
      </c>
      <c r="H107">
        <v>1</v>
      </c>
    </row>
    <row r="108" spans="1:8" x14ac:dyDescent="0.25">
      <c r="A108">
        <v>44646490.084530048</v>
      </c>
      <c r="B108">
        <v>494.1</v>
      </c>
      <c r="C108">
        <v>0</v>
      </c>
      <c r="D108">
        <v>30</v>
      </c>
      <c r="E108">
        <v>0</v>
      </c>
      <c r="F108">
        <v>336</v>
      </c>
      <c r="G108">
        <v>1</v>
      </c>
      <c r="H108">
        <v>1</v>
      </c>
    </row>
    <row r="109" spans="1:8" x14ac:dyDescent="0.25">
      <c r="A109">
        <v>46533264.480226979</v>
      </c>
      <c r="B109">
        <v>563.60000000000014</v>
      </c>
      <c r="C109">
        <v>0</v>
      </c>
      <c r="D109">
        <v>31</v>
      </c>
      <c r="E109">
        <v>0</v>
      </c>
      <c r="F109">
        <v>304</v>
      </c>
      <c r="G109">
        <v>0</v>
      </c>
      <c r="H109">
        <v>1</v>
      </c>
    </row>
    <row r="110" spans="1:8" x14ac:dyDescent="0.25">
      <c r="A110">
        <v>49158043.632982403</v>
      </c>
      <c r="B110">
        <v>764.5</v>
      </c>
      <c r="C110">
        <v>0</v>
      </c>
      <c r="D110">
        <v>31</v>
      </c>
      <c r="E110">
        <v>0</v>
      </c>
      <c r="F110">
        <v>352</v>
      </c>
      <c r="G110">
        <v>0</v>
      </c>
      <c r="H110">
        <v>1</v>
      </c>
    </row>
    <row r="111" spans="1:8" x14ac:dyDescent="0.25">
      <c r="A111">
        <v>43722123.952821322</v>
      </c>
      <c r="B111">
        <v>621.70000000000016</v>
      </c>
      <c r="C111">
        <v>0</v>
      </c>
      <c r="D111">
        <v>28</v>
      </c>
      <c r="E111">
        <v>0</v>
      </c>
      <c r="F111">
        <v>304</v>
      </c>
      <c r="G111">
        <v>0</v>
      </c>
      <c r="H111">
        <v>1</v>
      </c>
    </row>
    <row r="112" spans="1:8" x14ac:dyDescent="0.25">
      <c r="A112">
        <v>45699050.622054629</v>
      </c>
      <c r="B112">
        <v>593.90000000000009</v>
      </c>
      <c r="C112">
        <v>0</v>
      </c>
      <c r="D112">
        <v>31</v>
      </c>
      <c r="E112">
        <v>1</v>
      </c>
      <c r="F112">
        <v>336</v>
      </c>
      <c r="G112">
        <v>0</v>
      </c>
      <c r="H112">
        <v>1</v>
      </c>
    </row>
    <row r="113" spans="1:8" x14ac:dyDescent="0.25">
      <c r="A113">
        <v>41634024.240634918</v>
      </c>
      <c r="B113">
        <v>346.8</v>
      </c>
      <c r="C113">
        <v>0</v>
      </c>
      <c r="D113">
        <v>30</v>
      </c>
      <c r="E113">
        <v>1</v>
      </c>
      <c r="F113">
        <v>336</v>
      </c>
      <c r="G113">
        <v>0</v>
      </c>
      <c r="H113">
        <v>1</v>
      </c>
    </row>
    <row r="114" spans="1:8" x14ac:dyDescent="0.25">
      <c r="A114">
        <v>41390319.003267393</v>
      </c>
      <c r="B114">
        <v>180.99999999999997</v>
      </c>
      <c r="C114">
        <v>0</v>
      </c>
      <c r="D114">
        <v>31</v>
      </c>
      <c r="E114">
        <v>1</v>
      </c>
      <c r="F114">
        <v>352</v>
      </c>
      <c r="G114">
        <v>0</v>
      </c>
      <c r="H114">
        <v>1</v>
      </c>
    </row>
    <row r="115" spans="1:8" x14ac:dyDescent="0.25">
      <c r="A115">
        <v>43174806.158450648</v>
      </c>
      <c r="B115">
        <v>35.5</v>
      </c>
      <c r="C115">
        <v>41.300000000000004</v>
      </c>
      <c r="D115">
        <v>30</v>
      </c>
      <c r="E115">
        <v>0</v>
      </c>
      <c r="F115">
        <v>320</v>
      </c>
      <c r="G115">
        <v>0</v>
      </c>
      <c r="H115">
        <v>1</v>
      </c>
    </row>
    <row r="116" spans="1:8" x14ac:dyDescent="0.25">
      <c r="A116">
        <v>53895005.895316854</v>
      </c>
      <c r="B116">
        <v>0</v>
      </c>
      <c r="C116">
        <v>166.90000000000003</v>
      </c>
      <c r="D116">
        <v>31</v>
      </c>
      <c r="E116">
        <v>0</v>
      </c>
      <c r="F116">
        <v>352</v>
      </c>
      <c r="G116">
        <v>0</v>
      </c>
      <c r="H116">
        <v>1</v>
      </c>
    </row>
    <row r="117" spans="1:8" x14ac:dyDescent="0.25">
      <c r="A117">
        <v>48797129.488469154</v>
      </c>
      <c r="B117">
        <v>0.89999999999999991</v>
      </c>
      <c r="C117">
        <v>103.30000000000003</v>
      </c>
      <c r="D117">
        <v>31</v>
      </c>
      <c r="E117">
        <v>0</v>
      </c>
      <c r="F117">
        <v>336</v>
      </c>
      <c r="G117">
        <v>0</v>
      </c>
      <c r="H117">
        <v>1</v>
      </c>
    </row>
    <row r="118" spans="1:8" x14ac:dyDescent="0.25">
      <c r="A118">
        <v>42707310.458704419</v>
      </c>
      <c r="B118">
        <v>38.400000000000006</v>
      </c>
      <c r="C118">
        <v>25.400000000000002</v>
      </c>
      <c r="D118">
        <v>30</v>
      </c>
      <c r="E118">
        <v>0</v>
      </c>
      <c r="F118">
        <v>320</v>
      </c>
      <c r="G118">
        <v>1</v>
      </c>
      <c r="H118">
        <v>1</v>
      </c>
    </row>
    <row r="119" spans="1:8" x14ac:dyDescent="0.25">
      <c r="A119">
        <v>42503291.374341249</v>
      </c>
      <c r="B119">
        <v>236.5</v>
      </c>
      <c r="C119">
        <v>5.0999999999999996</v>
      </c>
      <c r="D119">
        <v>31</v>
      </c>
      <c r="E119">
        <v>0</v>
      </c>
      <c r="F119">
        <v>352</v>
      </c>
      <c r="G119">
        <v>1</v>
      </c>
      <c r="H119">
        <v>1</v>
      </c>
    </row>
    <row r="120" spans="1:8" x14ac:dyDescent="0.25">
      <c r="A120">
        <v>45552442.851262197</v>
      </c>
      <c r="B120">
        <v>513.30000000000007</v>
      </c>
      <c r="C120">
        <v>0</v>
      </c>
      <c r="D120">
        <v>30</v>
      </c>
      <c r="E120">
        <v>0</v>
      </c>
      <c r="F120">
        <v>320</v>
      </c>
      <c r="G120">
        <v>1</v>
      </c>
      <c r="H120">
        <v>1</v>
      </c>
    </row>
    <row r="121" spans="1:8" x14ac:dyDescent="0.25">
      <c r="A121">
        <v>47684652.312790148</v>
      </c>
      <c r="B121">
        <v>582.4</v>
      </c>
      <c r="C121">
        <v>0</v>
      </c>
      <c r="D121">
        <v>31</v>
      </c>
      <c r="E121">
        <v>0</v>
      </c>
      <c r="F121">
        <v>320</v>
      </c>
      <c r="G121">
        <v>0</v>
      </c>
      <c r="H121">
        <v>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I24"/>
  <sheetViews>
    <sheetView zoomScaleNormal="100" workbookViewId="0">
      <selection activeCell="N29" sqref="N29"/>
    </sheetView>
  </sheetViews>
  <sheetFormatPr defaultRowHeight="13.2" x14ac:dyDescent="0.25"/>
  <cols>
    <col min="1" max="1" width="22.44140625" bestFit="1" customWidth="1"/>
    <col min="3" max="3" width="13.5546875" customWidth="1"/>
  </cols>
  <sheetData>
    <row r="1" spans="1:9" x14ac:dyDescent="0.25">
      <c r="A1" t="s">
        <v>27</v>
      </c>
    </row>
    <row r="2" spans="1:9" ht="13.8" thickBot="1" x14ac:dyDescent="0.3"/>
    <row r="3" spans="1:9" x14ac:dyDescent="0.25">
      <c r="A3" s="50" t="s">
        <v>28</v>
      </c>
      <c r="B3" s="50"/>
    </row>
    <row r="4" spans="1:9" x14ac:dyDescent="0.25">
      <c r="A4" s="36" t="s">
        <v>29</v>
      </c>
      <c r="B4" s="36">
        <v>0.9646633498530911</v>
      </c>
    </row>
    <row r="5" spans="1:9" x14ac:dyDescent="0.25">
      <c r="A5" s="36" t="s">
        <v>30</v>
      </c>
      <c r="B5" s="36">
        <v>0.93057537854978734</v>
      </c>
    </row>
    <row r="6" spans="1:9" x14ac:dyDescent="0.25">
      <c r="A6" s="36" t="s">
        <v>31</v>
      </c>
      <c r="B6" s="36">
        <v>0.92623633970914909</v>
      </c>
    </row>
    <row r="7" spans="1:9" x14ac:dyDescent="0.25">
      <c r="A7" s="36" t="s">
        <v>32</v>
      </c>
      <c r="B7" s="36">
        <v>927780.30181233957</v>
      </c>
    </row>
    <row r="8" spans="1:9" ht="13.8" thickBot="1" x14ac:dyDescent="0.3">
      <c r="A8" s="48" t="s">
        <v>33</v>
      </c>
      <c r="B8" s="48">
        <v>120</v>
      </c>
    </row>
    <row r="10" spans="1:9" ht="13.8" thickBot="1" x14ac:dyDescent="0.3">
      <c r="A10" t="s">
        <v>34</v>
      </c>
    </row>
    <row r="11" spans="1:9" x14ac:dyDescent="0.25">
      <c r="A11" s="49"/>
      <c r="B11" s="49" t="s">
        <v>38</v>
      </c>
      <c r="C11" s="49" t="s">
        <v>39</v>
      </c>
      <c r="D11" s="49" t="s">
        <v>40</v>
      </c>
      <c r="E11" s="49" t="s">
        <v>41</v>
      </c>
      <c r="F11" s="49" t="s">
        <v>42</v>
      </c>
    </row>
    <row r="12" spans="1:9" x14ac:dyDescent="0.25">
      <c r="A12" s="36" t="s">
        <v>35</v>
      </c>
      <c r="B12" s="36">
        <v>7</v>
      </c>
      <c r="C12" s="36">
        <v>1292249447195234.8</v>
      </c>
      <c r="D12" s="36">
        <v>184607063885033.53</v>
      </c>
      <c r="E12" s="36">
        <v>214.46578671623402</v>
      </c>
      <c r="F12" s="36">
        <v>8.5170666960085204E-62</v>
      </c>
    </row>
    <row r="13" spans="1:9" x14ac:dyDescent="0.25">
      <c r="A13" s="36" t="s">
        <v>36</v>
      </c>
      <c r="B13" s="36">
        <v>112</v>
      </c>
      <c r="C13" s="36">
        <v>96406944304271.547</v>
      </c>
      <c r="D13" s="36">
        <v>860776288430.99597</v>
      </c>
      <c r="E13" s="36"/>
      <c r="F13" s="36"/>
    </row>
    <row r="14" spans="1:9" ht="13.8" thickBot="1" x14ac:dyDescent="0.3">
      <c r="A14" s="48" t="s">
        <v>11</v>
      </c>
      <c r="B14" s="48">
        <v>119</v>
      </c>
      <c r="C14" s="48">
        <v>1388656391499506.3</v>
      </c>
      <c r="D14" s="48"/>
      <c r="E14" s="48"/>
      <c r="F14" s="48"/>
    </row>
    <row r="15" spans="1:9" ht="13.8" thickBot="1" x14ac:dyDescent="0.3"/>
    <row r="16" spans="1:9" x14ac:dyDescent="0.25">
      <c r="A16" s="49"/>
      <c r="B16" s="49" t="s">
        <v>43</v>
      </c>
      <c r="C16" s="49" t="s">
        <v>32</v>
      </c>
      <c r="D16" s="49" t="s">
        <v>44</v>
      </c>
      <c r="E16" s="49" t="s">
        <v>45</v>
      </c>
      <c r="F16" s="49" t="s">
        <v>46</v>
      </c>
      <c r="G16" s="49" t="s">
        <v>47</v>
      </c>
      <c r="H16" s="49" t="s">
        <v>48</v>
      </c>
      <c r="I16" s="49" t="s">
        <v>49</v>
      </c>
    </row>
    <row r="17" spans="1:9" x14ac:dyDescent="0.25">
      <c r="A17" s="36" t="s">
        <v>37</v>
      </c>
      <c r="B17" s="36">
        <v>3541169.9673064006</v>
      </c>
      <c r="C17" s="36">
        <v>3300507.6979733324</v>
      </c>
      <c r="D17" s="36">
        <v>1.0729167423184156</v>
      </c>
      <c r="E17" s="36">
        <v>0.28561477902912258</v>
      </c>
      <c r="F17" s="36">
        <v>-2998362.96024023</v>
      </c>
      <c r="G17" s="36">
        <v>10080702.894853031</v>
      </c>
      <c r="H17" s="36">
        <v>-2998362.96024023</v>
      </c>
      <c r="I17" s="36">
        <v>10080702.894853031</v>
      </c>
    </row>
    <row r="18" spans="1:9" x14ac:dyDescent="0.25">
      <c r="A18" s="36" t="s">
        <v>3</v>
      </c>
      <c r="B18" s="36">
        <v>10055.85442325381</v>
      </c>
      <c r="C18" s="36">
        <v>552.35752943981674</v>
      </c>
      <c r="D18" s="36">
        <v>18.205336013889653</v>
      </c>
      <c r="E18" s="36">
        <v>2.965316645444547E-35</v>
      </c>
      <c r="F18" s="36">
        <v>8961.4287826870495</v>
      </c>
      <c r="G18" s="36">
        <v>11150.28006382057</v>
      </c>
      <c r="H18" s="36">
        <v>8961.4287826870495</v>
      </c>
      <c r="I18" s="36">
        <v>11150.28006382057</v>
      </c>
    </row>
    <row r="19" spans="1:9" x14ac:dyDescent="0.25">
      <c r="A19" s="36" t="s">
        <v>4</v>
      </c>
      <c r="B19" s="36">
        <v>69751.326095660916</v>
      </c>
      <c r="C19" s="36">
        <v>3034.783901078662</v>
      </c>
      <c r="D19" s="36">
        <v>22.983951533046223</v>
      </c>
      <c r="E19" s="36">
        <v>3.2922080856985317E-44</v>
      </c>
      <c r="F19" s="36">
        <v>63738.290809823302</v>
      </c>
      <c r="G19" s="36">
        <v>75764.361381498529</v>
      </c>
      <c r="H19" s="36">
        <v>63738.290809823302</v>
      </c>
      <c r="I19" s="36">
        <v>75764.361381498529</v>
      </c>
    </row>
    <row r="20" spans="1:9" x14ac:dyDescent="0.25">
      <c r="A20" s="36" t="s">
        <v>5</v>
      </c>
      <c r="B20" s="36">
        <v>985024.93092837767</v>
      </c>
      <c r="C20" s="36">
        <v>124471.15102814436</v>
      </c>
      <c r="D20" s="36">
        <v>7.9136805821427023</v>
      </c>
      <c r="E20" s="36">
        <v>1.952235094249321E-12</v>
      </c>
      <c r="F20" s="36">
        <v>738401.30051600083</v>
      </c>
      <c r="G20" s="36">
        <v>1231648.5613407544</v>
      </c>
      <c r="H20" s="36">
        <v>738401.30051600083</v>
      </c>
      <c r="I20" s="36">
        <v>1231648.5613407544</v>
      </c>
    </row>
    <row r="21" spans="1:9" x14ac:dyDescent="0.25">
      <c r="A21" s="36" t="s">
        <v>117</v>
      </c>
      <c r="B21" s="36">
        <v>-1775611.5336005297</v>
      </c>
      <c r="C21" s="36">
        <v>255665.35302581461</v>
      </c>
      <c r="D21" s="36">
        <v>-6.945061239569859</v>
      </c>
      <c r="E21" s="36">
        <v>2.6217221039238543E-10</v>
      </c>
      <c r="F21" s="36">
        <v>-2282179.6581262788</v>
      </c>
      <c r="G21" s="36">
        <v>-1269043.4090747805</v>
      </c>
      <c r="H21" s="36">
        <v>-2282179.6581262788</v>
      </c>
      <c r="I21" s="36">
        <v>-1269043.4090747805</v>
      </c>
    </row>
    <row r="22" spans="1:9" x14ac:dyDescent="0.25">
      <c r="A22" s="36" t="s">
        <v>6</v>
      </c>
      <c r="B22" s="36">
        <v>17447.773027922718</v>
      </c>
      <c r="C22" s="36">
        <v>5862.3592652556772</v>
      </c>
      <c r="D22" s="36">
        <v>2.9762374222491057</v>
      </c>
      <c r="E22" s="36">
        <v>3.5761247230846845E-3</v>
      </c>
      <c r="F22" s="36">
        <v>5832.2596110661671</v>
      </c>
      <c r="G22" s="36">
        <v>29063.286444779267</v>
      </c>
      <c r="H22" s="36">
        <v>5832.2596110661671</v>
      </c>
      <c r="I22" s="36">
        <v>29063.286444779267</v>
      </c>
    </row>
    <row r="23" spans="1:9" x14ac:dyDescent="0.25">
      <c r="A23" s="36" t="s">
        <v>118</v>
      </c>
      <c r="B23" s="36">
        <v>-662486.50671588618</v>
      </c>
      <c r="C23" s="36">
        <v>259855.13854269322</v>
      </c>
      <c r="D23" s="36">
        <v>-2.5494454734711436</v>
      </c>
      <c r="E23" s="36">
        <v>1.2141705360736596E-2</v>
      </c>
      <c r="F23" s="36">
        <v>-1177356.1541751553</v>
      </c>
      <c r="G23" s="36">
        <v>-147616.85925661691</v>
      </c>
      <c r="H23" s="36">
        <v>-1177356.1541751553</v>
      </c>
      <c r="I23" s="36">
        <v>-147616.85925661691</v>
      </c>
    </row>
    <row r="24" spans="1:9" ht="13.8" thickBot="1" x14ac:dyDescent="0.3">
      <c r="A24" s="48" t="s">
        <v>119</v>
      </c>
      <c r="B24" s="48">
        <v>1220919.143460768</v>
      </c>
      <c r="C24" s="48">
        <v>177787.91713214325</v>
      </c>
      <c r="D24" s="48">
        <v>6.8672785145084045</v>
      </c>
      <c r="E24" s="48">
        <v>3.8499092878724702E-10</v>
      </c>
      <c r="F24" s="48">
        <v>868655.17542957561</v>
      </c>
      <c r="G24" s="48">
        <v>1573183.1114919605</v>
      </c>
      <c r="H24" s="48">
        <v>868655.17542957561</v>
      </c>
      <c r="I24" s="48">
        <v>1573183.1114919605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rgb="FF0070C0"/>
    <pageSetUpPr fitToPage="1"/>
  </sheetPr>
  <dimension ref="A2:S56"/>
  <sheetViews>
    <sheetView zoomScale="90" zoomScaleNormal="90" zoomScaleSheetLayoutView="100" workbookViewId="0">
      <pane xSplit="1" ySplit="2" topLeftCell="E30" activePane="bottomRight" state="frozen"/>
      <selection activeCell="Q41" sqref="Q41"/>
      <selection pane="topRight" activeCell="Q41" sqref="Q41"/>
      <selection pane="bottomLeft" activeCell="Q41" sqref="Q41"/>
      <selection pane="bottomRight" activeCell="H19" sqref="H19"/>
    </sheetView>
  </sheetViews>
  <sheetFormatPr defaultColWidth="9.33203125" defaultRowHeight="13.2" x14ac:dyDescent="0.25"/>
  <cols>
    <col min="1" max="1" width="19.33203125" customWidth="1"/>
    <col min="2" max="5" width="18" style="1" customWidth="1"/>
    <col min="6" max="6" width="15.6640625" style="1" customWidth="1"/>
    <col min="7" max="7" width="17.33203125" style="6" customWidth="1"/>
    <col min="8" max="8" width="15" style="6" customWidth="1"/>
    <col min="9" max="9" width="16.6640625" style="6" customWidth="1"/>
    <col min="10" max="10" width="17" style="6" customWidth="1"/>
    <col min="11" max="11" width="21.5546875" style="6" customWidth="1"/>
    <col min="12" max="12" width="17.6640625" style="6" customWidth="1"/>
    <col min="13" max="13" width="14.6640625" style="6" customWidth="1"/>
    <col min="14" max="14" width="12.5546875" style="6" customWidth="1"/>
    <col min="15" max="16" width="12.33203125" style="6" bestFit="1" customWidth="1"/>
    <col min="17" max="17" width="11.5546875" style="6" bestFit="1" customWidth="1"/>
    <col min="18" max="18" width="10.88671875" style="6" bestFit="1" customWidth="1"/>
    <col min="19" max="19" width="11.33203125" style="6" bestFit="1" customWidth="1"/>
  </cols>
  <sheetData>
    <row r="2" spans="1:14" ht="42" customHeight="1" x14ac:dyDescent="0.25">
      <c r="B2" s="2" t="s">
        <v>8</v>
      </c>
      <c r="C2" s="2" t="s">
        <v>9</v>
      </c>
      <c r="D2" s="2" t="s">
        <v>50</v>
      </c>
      <c r="E2" s="2" t="s">
        <v>10</v>
      </c>
      <c r="F2" s="2" t="s">
        <v>1</v>
      </c>
      <c r="G2" s="7" t="s">
        <v>2</v>
      </c>
      <c r="H2" s="6" t="s">
        <v>67</v>
      </c>
      <c r="I2" s="6" t="s">
        <v>68</v>
      </c>
      <c r="J2" s="6" t="s">
        <v>80</v>
      </c>
      <c r="K2" s="6" t="s">
        <v>81</v>
      </c>
      <c r="L2" s="6" t="s">
        <v>76</v>
      </c>
      <c r="M2" s="6" t="s">
        <v>71</v>
      </c>
      <c r="N2" s="6" t="s">
        <v>69</v>
      </c>
    </row>
    <row r="3" spans="1:14" x14ac:dyDescent="0.25">
      <c r="A3">
        <f>'Purchased Power Model'!B149</f>
        <v>2010</v>
      </c>
      <c r="B3" s="6">
        <f ca="1">'Purchased Power Model'!E149</f>
        <v>525707722.49012214</v>
      </c>
      <c r="C3" s="6">
        <f ca="1">'Purchased Power Model'!S149</f>
        <v>524351932.95774496</v>
      </c>
      <c r="D3" s="37">
        <f t="shared" ref="D3:D12" ca="1" si="0">C3-B3</f>
        <v>-1355789.5323771834</v>
      </c>
      <c r="E3" s="5">
        <f t="shared" ref="E3:E12" ca="1" si="1">D3/B3</f>
        <v>-2.578979677063158E-3</v>
      </c>
      <c r="F3" s="47">
        <f t="shared" ref="F3:F12" ca="1" si="2">1+(B3-G3)/G3</f>
        <v>1.0690300571367626</v>
      </c>
      <c r="G3" s="123">
        <f t="shared" ref="G3:G12" si="3">SUM(H3:N3)</f>
        <v>491761404.63080317</v>
      </c>
      <c r="H3" s="28">
        <v>215023348.72000325</v>
      </c>
      <c r="I3" s="28">
        <v>54778252.31000001</v>
      </c>
      <c r="J3" s="28">
        <v>115517109.04079999</v>
      </c>
      <c r="K3" s="28">
        <v>102247109.22999999</v>
      </c>
      <c r="L3" s="28">
        <v>571306.28</v>
      </c>
      <c r="M3" s="28">
        <v>2708302.56</v>
      </c>
      <c r="N3" s="28">
        <v>915976.48999999941</v>
      </c>
    </row>
    <row r="4" spans="1:14" x14ac:dyDescent="0.25">
      <c r="A4">
        <f>'Purchased Power Model'!B150</f>
        <v>2011</v>
      </c>
      <c r="B4" s="6">
        <f ca="1">'Purchased Power Model'!E150</f>
        <v>524345059.91201699</v>
      </c>
      <c r="C4" s="6">
        <f ca="1">'Purchased Power Model'!S150</f>
        <v>523599233.53104627</v>
      </c>
      <c r="D4" s="37">
        <f t="shared" ca="1" si="0"/>
        <v>-745826.38097071648</v>
      </c>
      <c r="E4" s="5">
        <f t="shared" ca="1" si="1"/>
        <v>-1.422396124216109E-3</v>
      </c>
      <c r="F4" s="47">
        <f t="shared" ca="1" si="2"/>
        <v>1.0714655516012965</v>
      </c>
      <c r="G4" s="123">
        <f t="shared" si="3"/>
        <v>489371832</v>
      </c>
      <c r="H4" s="28">
        <v>208222717</v>
      </c>
      <c r="I4" s="28">
        <v>56992328</v>
      </c>
      <c r="J4" s="28">
        <v>114834153</v>
      </c>
      <c r="K4" s="28">
        <v>105252631</v>
      </c>
      <c r="L4" s="28">
        <v>435096</v>
      </c>
      <c r="M4" s="28">
        <v>2743202</v>
      </c>
      <c r="N4" s="28">
        <v>891705</v>
      </c>
    </row>
    <row r="5" spans="1:14" x14ac:dyDescent="0.25">
      <c r="A5">
        <f>'Purchased Power Model'!B151</f>
        <v>2012</v>
      </c>
      <c r="B5" s="6">
        <f ca="1">'Purchased Power Model'!E151</f>
        <v>516879092.70569378</v>
      </c>
      <c r="C5" s="6">
        <f ca="1">'Purchased Power Model'!S151</f>
        <v>521974135.96135008</v>
      </c>
      <c r="D5" s="37">
        <f t="shared" ca="1" si="0"/>
        <v>5095043.255656302</v>
      </c>
      <c r="E5" s="5">
        <f t="shared" ca="1" si="1"/>
        <v>9.8573212334540552E-3</v>
      </c>
      <c r="F5" s="47">
        <f t="shared" ca="1" si="2"/>
        <v>1.0580200379017084</v>
      </c>
      <c r="G5" s="123">
        <f t="shared" si="3"/>
        <v>488534313.33000195</v>
      </c>
      <c r="H5" s="28">
        <v>213770411.52000195</v>
      </c>
      <c r="I5" s="28">
        <v>56941927.850000031</v>
      </c>
      <c r="J5" s="28">
        <v>112013765.17000002</v>
      </c>
      <c r="K5" s="28">
        <v>101713649.52</v>
      </c>
      <c r="L5" s="28">
        <v>439445.95</v>
      </c>
      <c r="M5" s="28">
        <v>2762363.48</v>
      </c>
      <c r="N5" s="28">
        <v>892749.83999999973</v>
      </c>
    </row>
    <row r="6" spans="1:14" x14ac:dyDescent="0.25">
      <c r="A6">
        <f>'Purchased Power Model'!B152</f>
        <v>2013</v>
      </c>
      <c r="B6" s="6">
        <f ca="1">'Purchased Power Model'!E152</f>
        <v>523382420.53817517</v>
      </c>
      <c r="C6" s="6">
        <f ca="1">'Purchased Power Model'!S152</f>
        <v>518745461.96955585</v>
      </c>
      <c r="D6" s="37">
        <f t="shared" ca="1" si="0"/>
        <v>-4636958.5686193109</v>
      </c>
      <c r="E6" s="5">
        <f t="shared" ca="1" si="1"/>
        <v>-8.8595993802223893E-3</v>
      </c>
      <c r="F6" s="47">
        <f t="shared" ca="1" si="2"/>
        <v>1.0562276330921132</v>
      </c>
      <c r="G6" s="123">
        <f t="shared" si="3"/>
        <v>495520476.96950489</v>
      </c>
      <c r="H6" s="28">
        <v>207797230.02000487</v>
      </c>
      <c r="I6" s="28">
        <v>56899094.840000011</v>
      </c>
      <c r="J6" s="28">
        <v>115098501.22</v>
      </c>
      <c r="K6" s="28">
        <v>111612294.22000001</v>
      </c>
      <c r="L6" s="28">
        <v>443840.40950000001</v>
      </c>
      <c r="M6" s="28">
        <v>2769251.2600000002</v>
      </c>
      <c r="N6" s="28">
        <v>900265</v>
      </c>
    </row>
    <row r="7" spans="1:14" x14ac:dyDescent="0.25">
      <c r="A7">
        <f>'Purchased Power Model'!B153</f>
        <v>2014</v>
      </c>
      <c r="B7" s="6">
        <f ca="1">'Purchased Power Model'!E153</f>
        <v>534253964.71467674</v>
      </c>
      <c r="C7" s="6">
        <f ca="1">'Purchased Power Model'!S153</f>
        <v>524494184.94489396</v>
      </c>
      <c r="D7" s="37">
        <f t="shared" ca="1" si="0"/>
        <v>-9759779.7697827816</v>
      </c>
      <c r="E7" s="5">
        <f t="shared" ca="1" si="1"/>
        <v>-1.8268053050378544E-2</v>
      </c>
      <c r="F7" s="47">
        <f t="shared" ca="1" si="2"/>
        <v>1.0646383314684063</v>
      </c>
      <c r="G7" s="123">
        <f t="shared" si="3"/>
        <v>501817329.813595</v>
      </c>
      <c r="H7" s="28">
        <v>203392794</v>
      </c>
      <c r="I7" s="28">
        <v>51541092</v>
      </c>
      <c r="J7" s="28">
        <v>126051551</v>
      </c>
      <c r="K7" s="28">
        <v>116678000</v>
      </c>
      <c r="L7" s="28">
        <v>448278.81359500001</v>
      </c>
      <c r="M7" s="28">
        <v>2782603</v>
      </c>
      <c r="N7" s="28">
        <v>923011</v>
      </c>
    </row>
    <row r="8" spans="1:14" x14ac:dyDescent="0.25">
      <c r="A8">
        <f>'Purchased Power Model'!B154</f>
        <v>2015</v>
      </c>
      <c r="B8" s="6">
        <f ca="1">'Purchased Power Model'!E154</f>
        <v>528833762.9823004</v>
      </c>
      <c r="C8" s="6">
        <f ca="1">'Purchased Power Model'!S154</f>
        <v>524101364.03281069</v>
      </c>
      <c r="D8" s="37">
        <f t="shared" ca="1" si="0"/>
        <v>-4732398.9494897127</v>
      </c>
      <c r="E8" s="5">
        <f t="shared" ca="1" si="1"/>
        <v>-8.9487458644884246E-3</v>
      </c>
      <c r="F8" s="47">
        <f t="shared" ca="1" si="2"/>
        <v>1.0364569607823266</v>
      </c>
      <c r="G8" s="123">
        <f t="shared" si="3"/>
        <v>510232246</v>
      </c>
      <c r="H8" s="28">
        <v>203353342</v>
      </c>
      <c r="I8" s="28">
        <v>50702250</v>
      </c>
      <c r="J8" s="28">
        <v>140066367</v>
      </c>
      <c r="K8" s="28">
        <v>112112962</v>
      </c>
      <c r="L8" s="28">
        <v>326944</v>
      </c>
      <c r="M8" s="28">
        <v>2765164</v>
      </c>
      <c r="N8" s="28">
        <v>905217</v>
      </c>
    </row>
    <row r="9" spans="1:14" x14ac:dyDescent="0.25">
      <c r="A9">
        <f>'Purchased Power Model'!B155</f>
        <v>2016</v>
      </c>
      <c r="B9" s="6">
        <f ca="1">'Purchased Power Model'!E155</f>
        <v>525610329.21494138</v>
      </c>
      <c r="C9" s="6">
        <f ca="1">'Purchased Power Model'!S155</f>
        <v>531690575.14684153</v>
      </c>
      <c r="D9" s="37">
        <f t="shared" ca="1" si="0"/>
        <v>6080245.9319001436</v>
      </c>
      <c r="E9" s="5">
        <f t="shared" ca="1" si="1"/>
        <v>1.1567972686118403E-2</v>
      </c>
      <c r="F9" s="47">
        <f ca="1">1+(B9-G9)/G9</f>
        <v>1.0444334224561196</v>
      </c>
      <c r="G9" s="123">
        <f t="shared" si="3"/>
        <v>503249243</v>
      </c>
      <c r="H9" s="28">
        <v>204439774</v>
      </c>
      <c r="I9" s="28">
        <v>51296823</v>
      </c>
      <c r="J9" s="28">
        <v>137289389</v>
      </c>
      <c r="K9" s="28">
        <v>107193041</v>
      </c>
      <c r="L9" s="28">
        <v>273180</v>
      </c>
      <c r="M9" s="28">
        <v>1832979</v>
      </c>
      <c r="N9" s="28">
        <v>924057</v>
      </c>
    </row>
    <row r="10" spans="1:14" x14ac:dyDescent="0.25">
      <c r="A10">
        <f>'Purchased Power Model'!B156</f>
        <v>2017</v>
      </c>
      <c r="B10" s="6">
        <f ca="1">'Purchased Power Model'!E156</f>
        <v>498991221.69032222</v>
      </c>
      <c r="C10" s="6">
        <f ca="1">'Purchased Power Model'!S156</f>
        <v>509792411.85793579</v>
      </c>
      <c r="D10" s="37">
        <f t="shared" ca="1" si="0"/>
        <v>10801190.167613566</v>
      </c>
      <c r="E10" s="5">
        <f t="shared" ca="1" si="1"/>
        <v>2.1646052471674275E-2</v>
      </c>
      <c r="F10" s="47">
        <f ca="1">1+(B10-G10)/G10</f>
        <v>1.0369113449502312</v>
      </c>
      <c r="G10" s="123">
        <f t="shared" si="3"/>
        <v>481228433</v>
      </c>
      <c r="H10" s="28">
        <v>193694443</v>
      </c>
      <c r="I10" s="28">
        <v>50527239</v>
      </c>
      <c r="J10" s="28">
        <v>135373696</v>
      </c>
      <c r="K10" s="28">
        <v>99309703</v>
      </c>
      <c r="L10" s="28">
        <v>260238</v>
      </c>
      <c r="M10" s="28">
        <v>1128400</v>
      </c>
      <c r="N10" s="28">
        <v>934714</v>
      </c>
    </row>
    <row r="11" spans="1:14" x14ac:dyDescent="0.25">
      <c r="A11">
        <f>'Purchased Power Model'!B157</f>
        <v>2018</v>
      </c>
      <c r="B11" s="6">
        <f ca="1">'Purchased Power Model'!E157</f>
        <v>519290313.29109013</v>
      </c>
      <c r="C11" s="6">
        <f ca="1">'Purchased Power Model'!S157</f>
        <v>520695613.63353944</v>
      </c>
      <c r="D11" s="37">
        <f t="shared" ca="1" si="0"/>
        <v>1405300.3424493074</v>
      </c>
      <c r="E11" s="5">
        <f t="shared" ca="1" si="1"/>
        <v>2.7061940238071822E-3</v>
      </c>
      <c r="F11" s="47">
        <f t="shared" ca="1" si="2"/>
        <v>1.0397388707304411</v>
      </c>
      <c r="G11" s="123">
        <f t="shared" si="3"/>
        <v>499443012</v>
      </c>
      <c r="H11" s="28">
        <v>208411376</v>
      </c>
      <c r="I11" s="28">
        <v>51979121</v>
      </c>
      <c r="J11" s="28">
        <v>144914027</v>
      </c>
      <c r="K11" s="28">
        <v>91829369</v>
      </c>
      <c r="L11" s="28">
        <v>261914</v>
      </c>
      <c r="M11" s="28">
        <v>1093732</v>
      </c>
      <c r="N11" s="28">
        <v>953473</v>
      </c>
    </row>
    <row r="12" spans="1:14" x14ac:dyDescent="0.25">
      <c r="A12">
        <f>'Purchased Power Model'!B158</f>
        <v>2019</v>
      </c>
      <c r="B12" s="6">
        <f ca="1">'Purchased Power Model'!E158</f>
        <v>513275674.65413427</v>
      </c>
      <c r="C12" s="6">
        <f ca="1">'Purchased Power Model'!S158</f>
        <v>508565138.61511779</v>
      </c>
      <c r="D12" s="37">
        <f t="shared" ca="1" si="0"/>
        <v>-4710536.0390164852</v>
      </c>
      <c r="E12" s="5">
        <f t="shared" ca="1" si="1"/>
        <v>-9.1773997320068468E-3</v>
      </c>
      <c r="F12" s="47">
        <f t="shared" ca="1" si="2"/>
        <v>1.0391025427543692</v>
      </c>
      <c r="G12" s="123">
        <f t="shared" si="3"/>
        <v>493960560.70999932</v>
      </c>
      <c r="H12" s="28">
        <v>202110917.7699993</v>
      </c>
      <c r="I12" s="28">
        <v>50654667.66999992</v>
      </c>
      <c r="J12" s="28">
        <v>150365344.72</v>
      </c>
      <c r="K12" s="28">
        <v>88636118.290000007</v>
      </c>
      <c r="L12" s="28">
        <v>251878.97000000003</v>
      </c>
      <c r="M12" s="28">
        <v>979603.88</v>
      </c>
      <c r="N12" s="28">
        <v>962029.40999999968</v>
      </c>
    </row>
    <row r="13" spans="1:14" x14ac:dyDescent="0.25">
      <c r="A13">
        <f>'Purchased Power Model'!B159</f>
        <v>2020</v>
      </c>
      <c r="B13" s="6"/>
      <c r="C13" s="6">
        <f ca="1">'Purchased Power Model'!S159</f>
        <v>512308865.63729048</v>
      </c>
      <c r="D13" s="37"/>
      <c r="E13" s="5"/>
      <c r="F13" s="47"/>
      <c r="G13" s="123">
        <f ca="1">C13/$F$16</f>
        <v>487169703.07367235</v>
      </c>
      <c r="H13" s="28"/>
      <c r="I13" s="28"/>
      <c r="J13" s="28"/>
      <c r="K13" s="28"/>
      <c r="L13" s="28"/>
      <c r="M13" s="28"/>
      <c r="N13" s="28"/>
    </row>
    <row r="14" spans="1:14" x14ac:dyDescent="0.25">
      <c r="A14">
        <f>'Purchased Power Model'!B160</f>
        <v>2021</v>
      </c>
      <c r="B14" s="6"/>
      <c r="C14" s="244">
        <f ca="1">'Purchased Power Model'!S160</f>
        <v>510970437.8379153</v>
      </c>
      <c r="D14" s="37"/>
      <c r="E14" s="5"/>
      <c r="F14" s="47"/>
      <c r="G14" s="244">
        <f ca="1">C14/$F$16</f>
        <v>485896952.36147052</v>
      </c>
      <c r="H14" s="28"/>
      <c r="I14" s="28"/>
      <c r="J14" s="28"/>
      <c r="K14" s="28"/>
      <c r="L14" s="28"/>
      <c r="M14" s="28"/>
      <c r="N14" s="28"/>
    </row>
    <row r="15" spans="1:14" x14ac:dyDescent="0.25">
      <c r="B15" s="6"/>
      <c r="C15" s="6"/>
      <c r="D15" s="37"/>
      <c r="E15" s="5"/>
      <c r="F15" s="47"/>
      <c r="G15" s="123"/>
      <c r="H15" s="28"/>
      <c r="I15" s="28"/>
      <c r="J15" s="28"/>
      <c r="K15" s="28"/>
      <c r="L15" s="28"/>
      <c r="M15" s="28"/>
      <c r="N15" s="28"/>
    </row>
    <row r="16" spans="1:14" x14ac:dyDescent="0.25">
      <c r="B16" s="6"/>
      <c r="C16" s="6"/>
      <c r="F16" s="245">
        <f ca="1">AVERAGE(F3:F12)</f>
        <v>1.0516024752873774</v>
      </c>
      <c r="G16" s="28"/>
      <c r="H16" s="28"/>
      <c r="I16" s="28"/>
      <c r="J16" s="28"/>
      <c r="K16" s="28"/>
      <c r="L16" s="28"/>
      <c r="M16" s="28"/>
      <c r="N16" s="28"/>
    </row>
    <row r="17" spans="1:18" x14ac:dyDescent="0.25">
      <c r="B17" s="6"/>
      <c r="C17" s="6"/>
      <c r="F17" s="25"/>
      <c r="G17" s="28"/>
      <c r="H17" s="28"/>
      <c r="I17" s="28"/>
      <c r="J17" s="28"/>
      <c r="K17" s="28"/>
      <c r="L17" s="28"/>
      <c r="M17" s="28"/>
      <c r="N17" s="28"/>
    </row>
    <row r="19" spans="1:18" x14ac:dyDescent="0.25">
      <c r="G19" s="1"/>
      <c r="H19" s="1"/>
      <c r="I19" s="1"/>
      <c r="J19" s="1"/>
      <c r="K19" s="1"/>
      <c r="L19" s="1"/>
      <c r="M19" s="1"/>
      <c r="N19" s="1"/>
    </row>
    <row r="20" spans="1:18" x14ac:dyDescent="0.25">
      <c r="F20" s="25"/>
      <c r="G20" s="1"/>
      <c r="H20" s="1"/>
      <c r="I20" s="1"/>
      <c r="J20" s="1"/>
      <c r="K20" s="1"/>
      <c r="L20" s="1"/>
      <c r="M20" s="1"/>
      <c r="N20" s="1"/>
    </row>
    <row r="21" spans="1:18" x14ac:dyDescent="0.25">
      <c r="A21" s="23" t="s">
        <v>18</v>
      </c>
      <c r="B21" s="13"/>
    </row>
    <row r="22" spans="1:18" x14ac:dyDescent="0.25">
      <c r="A22">
        <f>A12</f>
        <v>2019</v>
      </c>
      <c r="B22" s="219"/>
      <c r="C22" s="219"/>
      <c r="D22" s="219"/>
      <c r="E22" s="219"/>
      <c r="F22" s="219"/>
      <c r="H22" s="28">
        <f>H12/'Rate Class Customer Model'!B12</f>
        <v>9870.6250131861343</v>
      </c>
      <c r="I22" s="28">
        <f>I12/'Rate Class Customer Model'!C12</f>
        <v>27771.199380482412</v>
      </c>
      <c r="J22" s="28">
        <f>J12/'Rate Class Customer Model'!D12</f>
        <v>692927.85585253453</v>
      </c>
      <c r="K22" s="28">
        <f>K12/'Rate Class Customer Model'!E12</f>
        <v>8057828.9354545465</v>
      </c>
      <c r="L22" s="28">
        <f>L12/'Rate Class Customer Model'!F12</f>
        <v>1439.3084000000001</v>
      </c>
      <c r="M22" s="28">
        <f>M12/'Rate Class Customer Model'!G12</f>
        <v>202.69064349265466</v>
      </c>
      <c r="N22" s="28">
        <f>N12/'Rate Class Customer Model'!H12</f>
        <v>5256.9913114754081</v>
      </c>
    </row>
    <row r="23" spans="1:18" x14ac:dyDescent="0.25">
      <c r="B23" s="219"/>
      <c r="C23" s="219"/>
      <c r="D23" s="219"/>
      <c r="E23" s="219"/>
      <c r="F23" s="219"/>
      <c r="H23" s="28"/>
    </row>
    <row r="24" spans="1:18" x14ac:dyDescent="0.25">
      <c r="D24" s="6"/>
      <c r="H24" s="26"/>
      <c r="I24" s="26"/>
      <c r="J24" s="26"/>
      <c r="K24" s="26"/>
      <c r="L24" s="26"/>
      <c r="M24" s="26"/>
      <c r="N24" s="26"/>
    </row>
    <row r="25" spans="1:18" x14ac:dyDescent="0.25">
      <c r="A25" s="21" t="s">
        <v>53</v>
      </c>
    </row>
    <row r="26" spans="1:18" x14ac:dyDescent="0.25">
      <c r="A26">
        <v>2020</v>
      </c>
      <c r="G26" s="123">
        <f>SUM(H26:N26)</f>
        <v>496530651.18456727</v>
      </c>
      <c r="H26" s="37">
        <f>H22*'Rate Class Customer Model'!B13</f>
        <v>203957741.52928889</v>
      </c>
      <c r="I26" s="37">
        <f>I22*'Rate Class Customer Model'!C13</f>
        <v>51377934.385278322</v>
      </c>
      <c r="J26" s="37">
        <f>J22*'Rate Class Customer Model'!D13</f>
        <v>150365344.72</v>
      </c>
      <c r="K26" s="37">
        <f>K22*'Rate Class Customer Model'!E13</f>
        <v>88636118.290000007</v>
      </c>
      <c r="L26" s="37">
        <f>L22*'Rate Class Customer Model'!F13</f>
        <v>251878.97000000003</v>
      </c>
      <c r="M26" s="37">
        <f>M22*'Rate Class Customer Model'!G13</f>
        <v>979603.88</v>
      </c>
      <c r="N26" s="37">
        <f>N22*'Rate Class Customer Model'!H13</f>
        <v>962029.40999999968</v>
      </c>
    </row>
    <row r="27" spans="1:18" x14ac:dyDescent="0.25">
      <c r="A27">
        <v>2021</v>
      </c>
      <c r="G27" s="123">
        <f>SUM(H27:N27)</f>
        <v>499127944.41205919</v>
      </c>
      <c r="H27" s="37">
        <f>H22*'Rate Class Customer Model'!B14</f>
        <v>205821440.96276525</v>
      </c>
      <c r="I27" s="37">
        <f>I22*'Rate Class Customer Model'!C14</f>
        <v>52111528.179293826</v>
      </c>
      <c r="J27" s="37">
        <f>J22*'Rate Class Customer Model'!D14</f>
        <v>150365344.72</v>
      </c>
      <c r="K27" s="37">
        <f>K22*'Rate Class Customer Model'!E14</f>
        <v>88636118.290000007</v>
      </c>
      <c r="L27" s="37">
        <f>L22*'Rate Class Customer Model'!F14</f>
        <v>251878.97000000003</v>
      </c>
      <c r="M27" s="37">
        <f>M22*'Rate Class Customer Model'!G14</f>
        <v>979603.88</v>
      </c>
      <c r="N27" s="37">
        <f>N22*'Rate Class Customer Model'!H14</f>
        <v>962029.40999999968</v>
      </c>
    </row>
    <row r="28" spans="1:18" x14ac:dyDescent="0.25">
      <c r="G28" s="37"/>
      <c r="H28" s="37"/>
      <c r="I28" s="37"/>
      <c r="J28" s="37"/>
      <c r="K28" s="37"/>
      <c r="L28" s="37"/>
      <c r="M28" s="37"/>
      <c r="N28" s="37"/>
    </row>
    <row r="29" spans="1:18" x14ac:dyDescent="0.25">
      <c r="A29" s="21" t="s">
        <v>52</v>
      </c>
      <c r="G29" s="144"/>
      <c r="H29" s="37"/>
      <c r="I29" s="37"/>
      <c r="J29" s="37"/>
      <c r="K29" s="37"/>
      <c r="L29" s="37"/>
      <c r="M29" s="37"/>
      <c r="N29" s="37"/>
    </row>
    <row r="30" spans="1:18" x14ac:dyDescent="0.25">
      <c r="A30">
        <v>2020</v>
      </c>
      <c r="G30" s="123">
        <f ca="1">G13</f>
        <v>487169703.07367235</v>
      </c>
      <c r="H30" s="37">
        <f ca="1">H26+H38+H46+H50</f>
        <v>198997188.50858328</v>
      </c>
      <c r="I30" s="37">
        <f t="shared" ref="I30:N31" ca="1" si="4">I26+I38+I46+I50</f>
        <v>50128347.261487253</v>
      </c>
      <c r="J30" s="37">
        <f t="shared" ca="1" si="4"/>
        <v>148641104.67093644</v>
      </c>
      <c r="K30" s="37">
        <f t="shared" ca="1" si="4"/>
        <v>80203892.902665302</v>
      </c>
      <c r="L30" s="37">
        <f t="shared" ca="1" si="4"/>
        <v>251878.97000000003</v>
      </c>
      <c r="M30" s="37">
        <f t="shared" ca="1" si="4"/>
        <v>979603.88</v>
      </c>
      <c r="N30" s="37">
        <f t="shared" ca="1" si="4"/>
        <v>962029.40999999968</v>
      </c>
      <c r="O30" s="37">
        <f ca="1">SUM(H30:N30)</f>
        <v>480164045.60367233</v>
      </c>
      <c r="P30" s="37">
        <f ca="1">O30-G30</f>
        <v>-7005657.4700000286</v>
      </c>
      <c r="Q30" s="37">
        <f>O46</f>
        <v>0</v>
      </c>
      <c r="R30" s="37">
        <f ca="1">P30-Q30</f>
        <v>-7005657.4700000286</v>
      </c>
    </row>
    <row r="31" spans="1:18" x14ac:dyDescent="0.25">
      <c r="A31">
        <v>2021</v>
      </c>
      <c r="G31" s="123">
        <f ca="1">G14</f>
        <v>485896952.36147052</v>
      </c>
      <c r="H31" s="37">
        <f ca="1">H27+H39+H47+H51</f>
        <v>198793433.66028747</v>
      </c>
      <c r="I31" s="37">
        <f t="shared" ca="1" si="4"/>
        <v>50332120.752768181</v>
      </c>
      <c r="J31" s="37">
        <f t="shared" ca="1" si="4"/>
        <v>147533138.00472772</v>
      </c>
      <c r="K31" s="37">
        <f t="shared" ca="1" si="4"/>
        <v>80039090.213687032</v>
      </c>
      <c r="L31" s="37">
        <f t="shared" ca="1" si="4"/>
        <v>251878.97000000003</v>
      </c>
      <c r="M31" s="37">
        <f t="shared" ca="1" si="4"/>
        <v>979603.88</v>
      </c>
      <c r="N31" s="37">
        <f ca="1">N27+N39+N47+N51</f>
        <v>962029.40999999968</v>
      </c>
      <c r="O31" s="37">
        <f ca="1">SUM(H31:N31)</f>
        <v>478891294.89147049</v>
      </c>
      <c r="P31" s="37">
        <f ca="1">O31-G31</f>
        <v>-7005657.4700000286</v>
      </c>
      <c r="Q31" s="37">
        <f>O47</f>
        <v>0</v>
      </c>
      <c r="R31" s="37">
        <f ca="1">P31-Q31</f>
        <v>-7005657.4700000286</v>
      </c>
    </row>
    <row r="32" spans="1:18" x14ac:dyDescent="0.25">
      <c r="G32" s="144"/>
      <c r="H32" s="37"/>
      <c r="I32" s="37"/>
      <c r="J32" s="37"/>
      <c r="K32" s="37"/>
      <c r="L32" s="37"/>
      <c r="M32" s="37"/>
      <c r="N32" s="37"/>
    </row>
    <row r="33" spans="1:19" x14ac:dyDescent="0.25">
      <c r="A33" t="s">
        <v>54</v>
      </c>
      <c r="G33" s="144"/>
      <c r="H33" s="67">
        <f>(100%+J33)/2</f>
        <v>0.8</v>
      </c>
      <c r="I33" s="67">
        <f>H33</f>
        <v>0.8</v>
      </c>
      <c r="J33" s="67">
        <v>0.6</v>
      </c>
      <c r="K33" s="67">
        <v>0.15140000000000001</v>
      </c>
      <c r="L33" s="67">
        <v>0</v>
      </c>
      <c r="M33" s="67">
        <v>0</v>
      </c>
      <c r="N33" s="67">
        <v>0</v>
      </c>
    </row>
    <row r="34" spans="1:19" x14ac:dyDescent="0.25">
      <c r="A34">
        <v>2020</v>
      </c>
      <c r="G34" s="142"/>
      <c r="H34" s="37">
        <f>H26*H33</f>
        <v>163166193.22343111</v>
      </c>
      <c r="I34" s="37">
        <f t="shared" ref="I34:N34" si="5">I26*I33</f>
        <v>41102347.508222662</v>
      </c>
      <c r="J34" s="37">
        <f t="shared" si="5"/>
        <v>90219206.832000002</v>
      </c>
      <c r="K34" s="37">
        <f t="shared" si="5"/>
        <v>13419508.309106002</v>
      </c>
      <c r="L34" s="37">
        <f t="shared" si="5"/>
        <v>0</v>
      </c>
      <c r="M34" s="37">
        <f t="shared" si="5"/>
        <v>0</v>
      </c>
      <c r="N34" s="37">
        <f t="shared" si="5"/>
        <v>0</v>
      </c>
      <c r="O34" s="37">
        <f>SUM(H34:N34)</f>
        <v>307907255.87275976</v>
      </c>
    </row>
    <row r="35" spans="1:19" x14ac:dyDescent="0.25">
      <c r="A35">
        <v>2021</v>
      </c>
      <c r="G35" s="142"/>
      <c r="H35" s="37">
        <f>H27*H33</f>
        <v>164657152.7702122</v>
      </c>
      <c r="I35" s="37">
        <f t="shared" ref="I35:N35" si="6">I27*I33</f>
        <v>41689222.543435067</v>
      </c>
      <c r="J35" s="37">
        <f>J27*J33</f>
        <v>90219206.832000002</v>
      </c>
      <c r="K35" s="37">
        <f t="shared" si="6"/>
        <v>13419508.309106002</v>
      </c>
      <c r="L35" s="37">
        <f t="shared" si="6"/>
        <v>0</v>
      </c>
      <c r="M35" s="37">
        <f t="shared" si="6"/>
        <v>0</v>
      </c>
      <c r="N35" s="37">
        <f t="shared" si="6"/>
        <v>0</v>
      </c>
      <c r="O35" s="37">
        <f>SUM(H35:N35)</f>
        <v>309985090.45475328</v>
      </c>
    </row>
    <row r="36" spans="1:19" ht="12" customHeight="1" x14ac:dyDescent="0.25">
      <c r="G36" s="37"/>
      <c r="H36" s="37"/>
      <c r="I36" s="37"/>
      <c r="J36" s="37"/>
      <c r="K36" s="37"/>
      <c r="L36" s="37"/>
      <c r="M36" s="37"/>
      <c r="N36" s="37"/>
    </row>
    <row r="37" spans="1:19" x14ac:dyDescent="0.25">
      <c r="A37" t="s">
        <v>55</v>
      </c>
      <c r="G37" s="37"/>
      <c r="H37" s="37"/>
      <c r="I37" s="37"/>
      <c r="J37" s="37"/>
      <c r="K37" s="37"/>
      <c r="L37" s="37"/>
      <c r="M37" s="37"/>
      <c r="N37" s="37"/>
    </row>
    <row r="38" spans="1:19" x14ac:dyDescent="0.25">
      <c r="A38">
        <v>2020</v>
      </c>
      <c r="G38" s="144">
        <f ca="1">G13-G26</f>
        <v>-9360948.1108949184</v>
      </c>
      <c r="H38" s="37">
        <f ca="1">H34/$O$34*$G$38</f>
        <v>-4960553.0207056068</v>
      </c>
      <c r="I38" s="37">
        <f t="shared" ref="I38:N38" ca="1" si="7">I34/$O$34*$G$38</f>
        <v>-1249587.1237910716</v>
      </c>
      <c r="J38" s="37">
        <f t="shared" ca="1" si="7"/>
        <v>-2742830.1790635511</v>
      </c>
      <c r="K38" s="37">
        <f t="shared" ca="1" si="7"/>
        <v>-407977.78733468911</v>
      </c>
      <c r="L38" s="37">
        <f t="shared" ca="1" si="7"/>
        <v>0</v>
      </c>
      <c r="M38" s="37">
        <f t="shared" ca="1" si="7"/>
        <v>0</v>
      </c>
      <c r="N38" s="37">
        <f t="shared" ca="1" si="7"/>
        <v>0</v>
      </c>
      <c r="O38" s="37">
        <f ca="1">SUM(H38:N38)</f>
        <v>-9360948.1108949203</v>
      </c>
    </row>
    <row r="39" spans="1:19" x14ac:dyDescent="0.25">
      <c r="A39">
        <v>2021</v>
      </c>
      <c r="G39" s="144">
        <f ca="1">G14-G27</f>
        <v>-13230992.050588667</v>
      </c>
      <c r="H39" s="37">
        <f ca="1">H35/$O$35*$G$39</f>
        <v>-7028007.3024777807</v>
      </c>
      <c r="I39" s="37">
        <f t="shared" ref="I39:N39" ca="1" si="8">I35/$O$35*$G$39</f>
        <v>-1779407.4265256429</v>
      </c>
      <c r="J39" s="37">
        <f t="shared" ca="1" si="8"/>
        <v>-3850796.8452722817</v>
      </c>
      <c r="K39" s="37">
        <f t="shared" ca="1" si="8"/>
        <v>-572780.47631296166</v>
      </c>
      <c r="L39" s="37">
        <f t="shared" ca="1" si="8"/>
        <v>0</v>
      </c>
      <c r="M39" s="37">
        <f t="shared" ca="1" si="8"/>
        <v>0</v>
      </c>
      <c r="N39" s="37">
        <f t="shared" ca="1" si="8"/>
        <v>0</v>
      </c>
      <c r="O39" s="37">
        <f ca="1">SUM(H39:N39)</f>
        <v>-13230992.050588667</v>
      </c>
    </row>
    <row r="41" spans="1:19" x14ac:dyDescent="0.25">
      <c r="A41" s="226" t="s">
        <v>200</v>
      </c>
      <c r="B41" s="219"/>
      <c r="C41" s="219"/>
      <c r="D41" s="219"/>
      <c r="E41" s="219"/>
      <c r="F41" s="219"/>
      <c r="H41"/>
      <c r="I41"/>
      <c r="J41"/>
      <c r="K41"/>
      <c r="L41"/>
      <c r="M41"/>
      <c r="R41"/>
      <c r="S41"/>
    </row>
    <row r="42" spans="1:19" x14ac:dyDescent="0.25">
      <c r="A42" s="226">
        <v>2020</v>
      </c>
      <c r="B42" s="219"/>
      <c r="C42" s="219"/>
      <c r="D42" s="219"/>
      <c r="E42" s="219"/>
      <c r="F42" s="233" t="s">
        <v>224</v>
      </c>
      <c r="G42" s="234"/>
      <c r="H42" s="246"/>
      <c r="I42" s="246"/>
      <c r="J42" s="246"/>
      <c r="K42" s="246"/>
      <c r="L42" s="246"/>
      <c r="M42" s="246"/>
      <c r="N42" s="246"/>
      <c r="O42" s="28"/>
      <c r="R42"/>
      <c r="S42"/>
    </row>
    <row r="43" spans="1:19" x14ac:dyDescent="0.25">
      <c r="A43" s="226">
        <v>2021</v>
      </c>
      <c r="B43" s="219"/>
      <c r="C43" s="219"/>
      <c r="D43" s="219"/>
      <c r="E43" s="219"/>
      <c r="F43" s="24"/>
      <c r="G43" s="28"/>
      <c r="H43" s="246"/>
      <c r="I43" s="246"/>
      <c r="J43" s="246"/>
      <c r="K43" s="246"/>
      <c r="L43" s="246"/>
      <c r="M43" s="246"/>
      <c r="N43" s="246"/>
      <c r="O43" s="28"/>
      <c r="R43"/>
      <c r="S43"/>
    </row>
    <row r="44" spans="1:19" x14ac:dyDescent="0.25">
      <c r="B44"/>
      <c r="C44"/>
      <c r="D44"/>
      <c r="E44"/>
      <c r="F44" s="32"/>
      <c r="G44" s="32"/>
      <c r="H44" s="32"/>
      <c r="I44" s="32"/>
      <c r="J44" s="32"/>
      <c r="K44" s="32"/>
      <c r="L44" s="32"/>
      <c r="M44" s="32"/>
      <c r="N44" s="32"/>
      <c r="O44" s="32"/>
      <c r="P44"/>
      <c r="Q44"/>
      <c r="R44"/>
      <c r="S44"/>
    </row>
    <row r="45" spans="1:19" x14ac:dyDescent="0.25">
      <c r="A45" s="226" t="s">
        <v>201</v>
      </c>
      <c r="B45" s="219"/>
      <c r="C45" s="219"/>
      <c r="D45" s="219"/>
      <c r="E45" s="219"/>
      <c r="F45" s="24"/>
      <c r="G45" s="28"/>
      <c r="H45" s="32"/>
      <c r="I45" s="32"/>
      <c r="J45" s="32"/>
      <c r="K45" s="32"/>
      <c r="L45" s="32"/>
      <c r="M45" s="32"/>
      <c r="N45" s="28"/>
      <c r="O45" s="28"/>
      <c r="R45"/>
      <c r="S45"/>
    </row>
    <row r="46" spans="1:19" x14ac:dyDescent="0.25">
      <c r="A46" s="226">
        <v>2020</v>
      </c>
      <c r="B46" s="219"/>
      <c r="C46" s="219"/>
      <c r="D46" s="219"/>
      <c r="E46" s="219"/>
      <c r="F46" s="24"/>
      <c r="G46" s="227" t="s">
        <v>202</v>
      </c>
      <c r="H46" s="37">
        <f>H26*H42*9.5/12</f>
        <v>0</v>
      </c>
      <c r="I46" s="37">
        <f t="shared" ref="I46:N46" si="9">I26*I42*9.5/12</f>
        <v>0</v>
      </c>
      <c r="J46" s="37">
        <f t="shared" si="9"/>
        <v>0</v>
      </c>
      <c r="K46" s="37">
        <f t="shared" si="9"/>
        <v>0</v>
      </c>
      <c r="L46" s="37">
        <f t="shared" si="9"/>
        <v>0</v>
      </c>
      <c r="M46" s="37">
        <f t="shared" si="9"/>
        <v>0</v>
      </c>
      <c r="N46" s="37">
        <f t="shared" si="9"/>
        <v>0</v>
      </c>
      <c r="O46" s="37">
        <f>SUM(H46:N46)</f>
        <v>0</v>
      </c>
      <c r="P46" s="228">
        <f ca="1">O46/O30</f>
        <v>0</v>
      </c>
      <c r="R46"/>
      <c r="S46"/>
    </row>
    <row r="47" spans="1:19" x14ac:dyDescent="0.25">
      <c r="A47" s="226">
        <v>2021</v>
      </c>
      <c r="B47" s="219"/>
      <c r="C47" s="219"/>
      <c r="D47" s="219"/>
      <c r="E47" s="219"/>
      <c r="F47" s="24"/>
      <c r="G47" s="227" t="s">
        <v>203</v>
      </c>
      <c r="H47" s="37">
        <f>H43*H27</f>
        <v>0</v>
      </c>
      <c r="I47" s="37">
        <f t="shared" ref="I47:N47" si="10">I43*I27</f>
        <v>0</v>
      </c>
      <c r="J47" s="37">
        <f t="shared" si="10"/>
        <v>0</v>
      </c>
      <c r="K47" s="37">
        <f t="shared" si="10"/>
        <v>0</v>
      </c>
      <c r="L47" s="37">
        <f t="shared" si="10"/>
        <v>0</v>
      </c>
      <c r="M47" s="37">
        <f t="shared" si="10"/>
        <v>0</v>
      </c>
      <c r="N47" s="37">
        <f t="shared" si="10"/>
        <v>0</v>
      </c>
      <c r="O47" s="37">
        <f>SUM(H47:N47)</f>
        <v>0</v>
      </c>
      <c r="P47" s="228">
        <f ca="1">O47/O31</f>
        <v>0</v>
      </c>
      <c r="R47"/>
      <c r="S47"/>
    </row>
    <row r="48" spans="1:19" x14ac:dyDescent="0.25">
      <c r="G48" s="143"/>
    </row>
    <row r="49" spans="1:15" x14ac:dyDescent="0.25">
      <c r="A49" t="s">
        <v>218</v>
      </c>
      <c r="G49" s="143"/>
    </row>
    <row r="50" spans="1:15" x14ac:dyDescent="0.25">
      <c r="A50" s="226">
        <v>2020</v>
      </c>
      <c r="J50" s="6">
        <f>J56</f>
        <v>1018590.1300000015</v>
      </c>
      <c r="K50" s="37">
        <f>K56</f>
        <v>-8024247.6000000024</v>
      </c>
      <c r="O50" s="37">
        <f>SUM(H50:N50)</f>
        <v>-7005657.4700000007</v>
      </c>
    </row>
    <row r="51" spans="1:15" x14ac:dyDescent="0.25">
      <c r="A51" s="226">
        <v>2021</v>
      </c>
      <c r="J51" s="6">
        <f>J50</f>
        <v>1018590.1300000015</v>
      </c>
      <c r="K51" s="37">
        <f>K50</f>
        <v>-8024247.6000000024</v>
      </c>
      <c r="O51" s="37">
        <f>SUM(H51:N51)</f>
        <v>-7005657.4700000007</v>
      </c>
    </row>
    <row r="52" spans="1:15" x14ac:dyDescent="0.25">
      <c r="L52" s="232" t="s">
        <v>219</v>
      </c>
      <c r="N52" s="232" t="s">
        <v>220</v>
      </c>
    </row>
    <row r="53" spans="1:15" x14ac:dyDescent="0.25">
      <c r="K53" s="37">
        <f>-3169000/2</f>
        <v>-1584500</v>
      </c>
      <c r="L53" s="232">
        <v>1</v>
      </c>
      <c r="N53" s="232"/>
    </row>
    <row r="54" spans="1:15" x14ac:dyDescent="0.25">
      <c r="J54" s="6">
        <v>173845.97999999998</v>
      </c>
      <c r="K54" s="37">
        <v>-5595003.4500000002</v>
      </c>
      <c r="L54" s="232">
        <v>2</v>
      </c>
      <c r="N54" s="232"/>
    </row>
    <row r="55" spans="1:15" x14ac:dyDescent="0.25">
      <c r="J55" s="6">
        <v>844744.15000000154</v>
      </c>
      <c r="K55" s="37">
        <v>-844744.150000002</v>
      </c>
      <c r="L55" s="232">
        <v>3</v>
      </c>
      <c r="N55" s="232"/>
    </row>
    <row r="56" spans="1:15" x14ac:dyDescent="0.25">
      <c r="J56" s="37">
        <f>SUM(J53:J55)</f>
        <v>1018590.1300000015</v>
      </c>
      <c r="K56" s="37">
        <f>SUM(K53:K55)</f>
        <v>-8024247.6000000024</v>
      </c>
      <c r="L56" s="232" t="s">
        <v>222</v>
      </c>
    </row>
  </sheetData>
  <pageMargins left="0" right="0.15748031496062992" top="0.15748031496062992" bottom="0.15748031496062992" header="0.11811023622047245" footer="0.11811023622047245"/>
  <pageSetup scale="48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N83"/>
  <sheetViews>
    <sheetView view="pageBreakPreview" zoomScaleNormal="100" zoomScaleSheetLayoutView="100" workbookViewId="0">
      <pane xSplit="1" ySplit="2" topLeftCell="B3" activePane="bottomRight" state="frozen"/>
      <selection activeCell="Q41" sqref="Q41"/>
      <selection pane="topRight" activeCell="Q41" sqref="Q41"/>
      <selection pane="bottomLeft" activeCell="Q41" sqref="Q41"/>
      <selection pane="bottomRight" activeCell="F14" sqref="F14"/>
    </sheetView>
  </sheetViews>
  <sheetFormatPr defaultColWidth="9.33203125" defaultRowHeight="13.2" x14ac:dyDescent="0.25"/>
  <cols>
    <col min="1" max="1" width="21.6640625" customWidth="1"/>
    <col min="2" max="2" width="15" style="6" customWidth="1"/>
    <col min="3" max="4" width="14.33203125" style="6" bestFit="1" customWidth="1"/>
    <col min="5" max="6" width="14.33203125" style="6" customWidth="1"/>
    <col min="7" max="7" width="17.5546875" style="6" customWidth="1"/>
    <col min="8" max="8" width="12.5546875" style="6" customWidth="1"/>
    <col min="9" max="10" width="12.6640625" style="6" bestFit="1" customWidth="1"/>
    <col min="11" max="11" width="11.6640625" style="6" bestFit="1" customWidth="1"/>
    <col min="12" max="12" width="10.6640625" style="6" bestFit="1" customWidth="1"/>
    <col min="13" max="14" width="9.33203125" style="6"/>
  </cols>
  <sheetData>
    <row r="1" spans="1:10" x14ac:dyDescent="0.25">
      <c r="A1" t="s">
        <v>176</v>
      </c>
      <c r="B1" s="252" t="s">
        <v>177</v>
      </c>
      <c r="C1" s="252"/>
      <c r="D1" s="252"/>
      <c r="E1" s="252"/>
      <c r="F1" s="252" t="s">
        <v>178</v>
      </c>
      <c r="G1" s="252"/>
      <c r="H1" s="252"/>
    </row>
    <row r="2" spans="1:10" ht="42" customHeight="1" x14ac:dyDescent="0.25">
      <c r="B2" s="65" t="str">
        <f>'Rate Class Energy Model'!H2</f>
        <v>Residential</v>
      </c>
      <c r="C2" s="65" t="str">
        <f>'Rate Class Energy Model'!I2</f>
        <v>GS&lt;50</v>
      </c>
      <c r="D2" s="65" t="str">
        <f>'Rate Class Energy Model'!J2</f>
        <v>GS&gt;50 to 999</v>
      </c>
      <c r="E2" s="65" t="str">
        <f>'Rate Class Energy Model'!K2</f>
        <v>GS&gt; 1000 to 4999</v>
      </c>
      <c r="F2" s="65" t="str">
        <f>'Rate Class Energy Model'!L2</f>
        <v>Sentinels</v>
      </c>
      <c r="G2" s="65" t="str">
        <f>'Rate Class Energy Model'!M2</f>
        <v>Streetlights</v>
      </c>
      <c r="H2" s="65" t="str">
        <f>'Rate Class Energy Model'!N2</f>
        <v>USL</v>
      </c>
      <c r="I2" s="66" t="s">
        <v>11</v>
      </c>
    </row>
    <row r="3" spans="1:10" x14ac:dyDescent="0.25">
      <c r="A3" s="4">
        <v>2010</v>
      </c>
      <c r="B3" s="152">
        <v>18866.499999999993</v>
      </c>
      <c r="C3" s="152">
        <v>1605.5000000000005</v>
      </c>
      <c r="D3" s="152">
        <v>167.99999999999994</v>
      </c>
      <c r="E3" s="152">
        <v>10.999999999999996</v>
      </c>
      <c r="F3" s="152">
        <v>327.50000000000011</v>
      </c>
      <c r="G3" s="152">
        <v>4361.5</v>
      </c>
      <c r="H3" s="152">
        <v>137.5</v>
      </c>
      <c r="I3" s="152">
        <f t="shared" ref="I3:I14" si="0">SUM(B3:H3)</f>
        <v>25477.499999999993</v>
      </c>
    </row>
    <row r="4" spans="1:10" x14ac:dyDescent="0.25">
      <c r="A4" s="4">
        <v>2011</v>
      </c>
      <c r="B4" s="152">
        <v>19136</v>
      </c>
      <c r="C4" s="152">
        <v>1708</v>
      </c>
      <c r="D4" s="152">
        <v>156</v>
      </c>
      <c r="E4" s="152">
        <v>12</v>
      </c>
      <c r="F4" s="152">
        <v>161</v>
      </c>
      <c r="G4" s="152">
        <v>4387</v>
      </c>
      <c r="H4" s="152">
        <v>144</v>
      </c>
      <c r="I4" s="152">
        <f t="shared" si="0"/>
        <v>25704</v>
      </c>
    </row>
    <row r="5" spans="1:10" x14ac:dyDescent="0.25">
      <c r="A5" s="4">
        <v>2012</v>
      </c>
      <c r="B5" s="152">
        <v>19194</v>
      </c>
      <c r="C5" s="152">
        <v>1710</v>
      </c>
      <c r="D5" s="152">
        <v>200</v>
      </c>
      <c r="E5" s="152">
        <v>12</v>
      </c>
      <c r="F5" s="152">
        <v>153</v>
      </c>
      <c r="G5" s="152">
        <v>4417</v>
      </c>
      <c r="H5" s="152">
        <v>151</v>
      </c>
      <c r="I5" s="152">
        <f t="shared" si="0"/>
        <v>25837</v>
      </c>
      <c r="J5" s="124"/>
    </row>
    <row r="6" spans="1:10" x14ac:dyDescent="0.25">
      <c r="A6" s="4">
        <v>2013</v>
      </c>
      <c r="B6" s="152">
        <v>19511</v>
      </c>
      <c r="C6" s="152">
        <v>1710</v>
      </c>
      <c r="D6" s="152">
        <v>207</v>
      </c>
      <c r="E6" s="152">
        <v>13</v>
      </c>
      <c r="F6" s="152">
        <v>177</v>
      </c>
      <c r="G6" s="152">
        <v>4477</v>
      </c>
      <c r="H6" s="152">
        <v>146</v>
      </c>
      <c r="I6" s="152">
        <f t="shared" si="0"/>
        <v>26241</v>
      </c>
    </row>
    <row r="7" spans="1:10" x14ac:dyDescent="0.25">
      <c r="A7" s="4">
        <v>2014</v>
      </c>
      <c r="B7" s="152">
        <v>19623</v>
      </c>
      <c r="C7" s="152">
        <v>1701</v>
      </c>
      <c r="D7" s="152">
        <v>198</v>
      </c>
      <c r="E7" s="152">
        <f t="shared" ref="E7:H7" si="1">+E6*1.01</f>
        <v>13.13</v>
      </c>
      <c r="F7" s="152">
        <v>170</v>
      </c>
      <c r="G7" s="152">
        <v>4477</v>
      </c>
      <c r="H7" s="152">
        <f t="shared" si="1"/>
        <v>147.46</v>
      </c>
      <c r="I7" s="152">
        <f t="shared" si="0"/>
        <v>26329.59</v>
      </c>
      <c r="J7" s="66"/>
    </row>
    <row r="8" spans="1:10" x14ac:dyDescent="0.25">
      <c r="A8" s="4">
        <v>2015</v>
      </c>
      <c r="B8" s="152">
        <v>19801</v>
      </c>
      <c r="C8" s="152">
        <v>1920</v>
      </c>
      <c r="D8" s="152">
        <v>195</v>
      </c>
      <c r="E8" s="152">
        <v>13</v>
      </c>
      <c r="F8" s="152">
        <v>172</v>
      </c>
      <c r="G8" s="152">
        <v>4595</v>
      </c>
      <c r="H8" s="152">
        <v>144</v>
      </c>
      <c r="I8" s="152">
        <f t="shared" si="0"/>
        <v>26840</v>
      </c>
      <c r="J8" s="138"/>
    </row>
    <row r="9" spans="1:10" x14ac:dyDescent="0.25">
      <c r="A9" s="4">
        <v>2016</v>
      </c>
      <c r="B9" s="152">
        <v>20057</v>
      </c>
      <c r="C9" s="152">
        <v>1844</v>
      </c>
      <c r="D9" s="152">
        <v>198</v>
      </c>
      <c r="E9" s="152">
        <v>13</v>
      </c>
      <c r="F9" s="152">
        <v>170</v>
      </c>
      <c r="G9" s="152">
        <v>4680</v>
      </c>
      <c r="H9" s="152">
        <v>148</v>
      </c>
      <c r="I9" s="152">
        <f t="shared" si="0"/>
        <v>27110</v>
      </c>
      <c r="J9" s="138"/>
    </row>
    <row r="10" spans="1:10" x14ac:dyDescent="0.25">
      <c r="A10" s="4">
        <v>2017</v>
      </c>
      <c r="B10" s="152">
        <v>20188</v>
      </c>
      <c r="C10" s="152">
        <v>1810</v>
      </c>
      <c r="D10" s="152">
        <v>186</v>
      </c>
      <c r="E10" s="152">
        <v>11</v>
      </c>
      <c r="F10" s="152">
        <v>173</v>
      </c>
      <c r="G10" s="152">
        <v>4674</v>
      </c>
      <c r="H10" s="152">
        <v>152</v>
      </c>
      <c r="I10" s="152">
        <f t="shared" si="0"/>
        <v>27194</v>
      </c>
      <c r="J10" s="138"/>
    </row>
    <row r="11" spans="1:10" x14ac:dyDescent="0.25">
      <c r="A11" s="4">
        <v>2018</v>
      </c>
      <c r="B11" s="152">
        <v>20332</v>
      </c>
      <c r="C11" s="152">
        <v>1895</v>
      </c>
      <c r="D11" s="152">
        <v>205</v>
      </c>
      <c r="E11" s="152">
        <v>10</v>
      </c>
      <c r="F11" s="152">
        <v>175</v>
      </c>
      <c r="G11" s="152">
        <v>4778</v>
      </c>
      <c r="H11" s="152">
        <v>185</v>
      </c>
      <c r="I11" s="152">
        <f t="shared" si="0"/>
        <v>27580</v>
      </c>
      <c r="J11" s="138"/>
    </row>
    <row r="12" spans="1:10" x14ac:dyDescent="0.25">
      <c r="A12" s="4">
        <v>2019</v>
      </c>
      <c r="B12" s="152">
        <v>20476</v>
      </c>
      <c r="C12" s="152">
        <v>1824</v>
      </c>
      <c r="D12" s="152">
        <v>217</v>
      </c>
      <c r="E12" s="152">
        <v>11</v>
      </c>
      <c r="F12" s="152">
        <v>175</v>
      </c>
      <c r="G12" s="152">
        <v>4833</v>
      </c>
      <c r="H12" s="152">
        <v>183</v>
      </c>
      <c r="I12" s="152">
        <f t="shared" si="0"/>
        <v>27719</v>
      </c>
      <c r="J12" s="138"/>
    </row>
    <row r="13" spans="1:10" x14ac:dyDescent="0.25">
      <c r="A13" s="4">
        <v>2020</v>
      </c>
      <c r="B13" s="99">
        <f>B12*B32</f>
        <v>20663.103021016646</v>
      </c>
      <c r="C13" s="99">
        <f>C12*C32</f>
        <v>1850.0437694954837</v>
      </c>
      <c r="D13" s="99">
        <f>D12*D32</f>
        <v>217</v>
      </c>
      <c r="E13" s="99">
        <f t="shared" ref="E13:H13" si="2">E12*E32</f>
        <v>11</v>
      </c>
      <c r="F13" s="99">
        <f>F12*F32</f>
        <v>175</v>
      </c>
      <c r="G13" s="99">
        <f t="shared" si="2"/>
        <v>4833</v>
      </c>
      <c r="H13" s="99">
        <f t="shared" si="2"/>
        <v>183</v>
      </c>
      <c r="I13" s="99">
        <f t="shared" si="0"/>
        <v>27932.146790512132</v>
      </c>
      <c r="J13" s="138"/>
    </row>
    <row r="14" spans="1:10" x14ac:dyDescent="0.25">
      <c r="A14" s="4">
        <v>2021</v>
      </c>
      <c r="B14" s="99">
        <f>B13*B32</f>
        <v>20851.915728518619</v>
      </c>
      <c r="C14" s="99">
        <f t="shared" ref="C14:H14" si="3">C13*C32</f>
        <v>1876.4594018909311</v>
      </c>
      <c r="D14" s="99">
        <f t="shared" si="3"/>
        <v>217</v>
      </c>
      <c r="E14" s="99">
        <f t="shared" si="3"/>
        <v>11</v>
      </c>
      <c r="F14" s="99">
        <f t="shared" si="3"/>
        <v>175</v>
      </c>
      <c r="G14" s="99">
        <f t="shared" si="3"/>
        <v>4833</v>
      </c>
      <c r="H14" s="99">
        <f t="shared" si="3"/>
        <v>183</v>
      </c>
      <c r="I14" s="99">
        <f t="shared" si="0"/>
        <v>28147.375130409549</v>
      </c>
      <c r="J14" s="138"/>
    </row>
    <row r="15" spans="1:10" x14ac:dyDescent="0.25">
      <c r="A15" s="22"/>
    </row>
    <row r="16" spans="1:10" x14ac:dyDescent="0.25">
      <c r="A16" s="21" t="s">
        <v>51</v>
      </c>
      <c r="C16" s="138"/>
    </row>
    <row r="17" spans="1:12" x14ac:dyDescent="0.25">
      <c r="A17" s="22"/>
    </row>
    <row r="18" spans="1:12" ht="26.4" x14ac:dyDescent="0.25">
      <c r="A18" s="22"/>
      <c r="B18" s="65" t="s">
        <v>67</v>
      </c>
      <c r="C18" s="65" t="s">
        <v>68</v>
      </c>
      <c r="D18" s="65" t="s">
        <v>80</v>
      </c>
      <c r="E18" s="65" t="s">
        <v>81</v>
      </c>
      <c r="F18" s="65" t="s">
        <v>76</v>
      </c>
      <c r="G18" s="65" t="s">
        <v>71</v>
      </c>
      <c r="H18" s="65" t="s">
        <v>69</v>
      </c>
      <c r="I18" s="66"/>
    </row>
    <row r="19" spans="1:12" x14ac:dyDescent="0.25">
      <c r="B19" s="5"/>
      <c r="C19" s="5"/>
      <c r="D19" s="5"/>
      <c r="E19" s="5"/>
      <c r="F19" s="5"/>
      <c r="G19" s="5"/>
      <c r="H19" s="5"/>
    </row>
    <row r="20" spans="1:12" x14ac:dyDescent="0.25">
      <c r="A20" s="4">
        <v>2011</v>
      </c>
      <c r="B20" s="25">
        <f>B4/B3</f>
        <v>1.014284578485676</v>
      </c>
      <c r="C20" s="25">
        <f t="shared" ref="C20:H20" si="4">C4/C3</f>
        <v>1.0638430395515412</v>
      </c>
      <c r="D20" s="25">
        <f t="shared" si="4"/>
        <v>0.92857142857142894</v>
      </c>
      <c r="E20" s="25">
        <f t="shared" si="4"/>
        <v>1.0909090909090913</v>
      </c>
      <c r="F20" s="25">
        <f t="shared" si="4"/>
        <v>0.49160305343511435</v>
      </c>
      <c r="G20" s="25">
        <f t="shared" si="4"/>
        <v>1.0058466124039895</v>
      </c>
      <c r="H20" s="25">
        <f t="shared" si="4"/>
        <v>1.0472727272727274</v>
      </c>
      <c r="L20" s="138"/>
    </row>
    <row r="21" spans="1:12" x14ac:dyDescent="0.25">
      <c r="A21" s="4">
        <v>2012</v>
      </c>
      <c r="B21" s="25">
        <f t="shared" ref="B21:H28" si="5">B5/B4</f>
        <v>1.0030309364548495</v>
      </c>
      <c r="C21" s="25">
        <f t="shared" si="5"/>
        <v>1.0011709601873535</v>
      </c>
      <c r="D21" s="25">
        <f t="shared" si="5"/>
        <v>1.2820512820512822</v>
      </c>
      <c r="E21" s="25">
        <f t="shared" si="5"/>
        <v>1</v>
      </c>
      <c r="F21" s="25">
        <f t="shared" si="5"/>
        <v>0.9503105590062112</v>
      </c>
      <c r="G21" s="25">
        <f t="shared" si="5"/>
        <v>1.0068383861408707</v>
      </c>
      <c r="H21" s="25">
        <f t="shared" si="5"/>
        <v>1.0486111111111112</v>
      </c>
    </row>
    <row r="22" spans="1:12" x14ac:dyDescent="0.25">
      <c r="A22" s="4">
        <v>2013</v>
      </c>
      <c r="B22" s="25">
        <f t="shared" si="5"/>
        <v>1.0165155777847243</v>
      </c>
      <c r="C22" s="25">
        <f t="shared" si="5"/>
        <v>1</v>
      </c>
      <c r="D22" s="25">
        <f t="shared" si="5"/>
        <v>1.0349999999999999</v>
      </c>
      <c r="E22" s="25">
        <f t="shared" si="5"/>
        <v>1.0833333333333333</v>
      </c>
      <c r="F22" s="25">
        <f t="shared" si="5"/>
        <v>1.1568627450980393</v>
      </c>
      <c r="G22" s="25">
        <f t="shared" si="5"/>
        <v>1.013583880461852</v>
      </c>
      <c r="H22" s="25">
        <f t="shared" si="5"/>
        <v>0.9668874172185431</v>
      </c>
    </row>
    <row r="23" spans="1:12" x14ac:dyDescent="0.25">
      <c r="A23" s="4">
        <v>2014</v>
      </c>
      <c r="B23" s="25">
        <f t="shared" si="5"/>
        <v>1.0057403515965353</v>
      </c>
      <c r="C23" s="25">
        <f t="shared" si="5"/>
        <v>0.99473684210526314</v>
      </c>
      <c r="D23" s="25">
        <f t="shared" si="5"/>
        <v>0.95652173913043481</v>
      </c>
      <c r="E23" s="25">
        <f t="shared" si="5"/>
        <v>1.01</v>
      </c>
      <c r="F23" s="25">
        <f t="shared" si="5"/>
        <v>0.96045197740112997</v>
      </c>
      <c r="G23" s="25">
        <f t="shared" si="5"/>
        <v>1</v>
      </c>
      <c r="H23" s="25">
        <f t="shared" si="5"/>
        <v>1.01</v>
      </c>
    </row>
    <row r="24" spans="1:12" x14ac:dyDescent="0.25">
      <c r="A24" s="4">
        <v>2015</v>
      </c>
      <c r="B24" s="25">
        <f t="shared" si="5"/>
        <v>1.0090709881261786</v>
      </c>
      <c r="C24" s="25">
        <f t="shared" si="5"/>
        <v>1.128747795414462</v>
      </c>
      <c r="D24" s="25">
        <f t="shared" si="5"/>
        <v>0.98484848484848486</v>
      </c>
      <c r="E24" s="25">
        <f t="shared" si="5"/>
        <v>0.99009900990099009</v>
      </c>
      <c r="F24" s="25">
        <f t="shared" si="5"/>
        <v>1.0117647058823529</v>
      </c>
      <c r="G24" s="25">
        <f t="shared" si="5"/>
        <v>1.0263569354478446</v>
      </c>
      <c r="H24" s="25">
        <f t="shared" si="5"/>
        <v>0.97653600976536004</v>
      </c>
    </row>
    <row r="25" spans="1:12" x14ac:dyDescent="0.25">
      <c r="A25" s="4">
        <v>2016</v>
      </c>
      <c r="B25" s="25">
        <f t="shared" si="5"/>
        <v>1.0129286399676785</v>
      </c>
      <c r="C25" s="25">
        <f t="shared" si="5"/>
        <v>0.9604166666666667</v>
      </c>
      <c r="D25" s="25">
        <f t="shared" si="5"/>
        <v>1.0153846153846153</v>
      </c>
      <c r="E25" s="25">
        <f t="shared" si="5"/>
        <v>1</v>
      </c>
      <c r="F25" s="25">
        <f t="shared" si="5"/>
        <v>0.98837209302325579</v>
      </c>
      <c r="G25" s="25">
        <f t="shared" si="5"/>
        <v>1.0184983677910773</v>
      </c>
      <c r="H25" s="25">
        <f t="shared" si="5"/>
        <v>1.0277777777777777</v>
      </c>
    </row>
    <row r="26" spans="1:12" x14ac:dyDescent="0.25">
      <c r="A26" s="4">
        <v>2017</v>
      </c>
      <c r="B26" s="25">
        <f t="shared" si="5"/>
        <v>1.006531385551179</v>
      </c>
      <c r="C26" s="25">
        <f t="shared" si="5"/>
        <v>0.98156182212581344</v>
      </c>
      <c r="D26" s="25">
        <f t="shared" si="5"/>
        <v>0.93939393939393945</v>
      </c>
      <c r="E26" s="25">
        <f t="shared" si="5"/>
        <v>0.84615384615384615</v>
      </c>
      <c r="F26" s="25">
        <f t="shared" si="5"/>
        <v>1.0176470588235293</v>
      </c>
      <c r="G26" s="25">
        <f t="shared" si="5"/>
        <v>0.99871794871794872</v>
      </c>
      <c r="H26" s="25">
        <f t="shared" si="5"/>
        <v>1.027027027027027</v>
      </c>
    </row>
    <row r="27" spans="1:12" x14ac:dyDescent="0.25">
      <c r="A27" s="4">
        <v>2018</v>
      </c>
      <c r="B27" s="25">
        <f t="shared" si="5"/>
        <v>1.0071329502674857</v>
      </c>
      <c r="C27" s="25">
        <f t="shared" si="5"/>
        <v>1.0469613259668509</v>
      </c>
      <c r="D27" s="25">
        <f t="shared" si="5"/>
        <v>1.1021505376344085</v>
      </c>
      <c r="E27" s="25">
        <f t="shared" si="5"/>
        <v>0.90909090909090906</v>
      </c>
      <c r="F27" s="25">
        <f t="shared" si="5"/>
        <v>1.0115606936416186</v>
      </c>
      <c r="G27" s="25">
        <f t="shared" si="5"/>
        <v>1.0222507488232777</v>
      </c>
      <c r="H27" s="25">
        <f t="shared" si="5"/>
        <v>1.2171052631578947</v>
      </c>
    </row>
    <row r="28" spans="1:12" x14ac:dyDescent="0.25">
      <c r="A28" s="4">
        <v>2019</v>
      </c>
      <c r="B28" s="25">
        <f t="shared" si="5"/>
        <v>1.0070824316348612</v>
      </c>
      <c r="C28" s="25">
        <f t="shared" si="5"/>
        <v>0.96253298153034306</v>
      </c>
      <c r="D28" s="25">
        <f t="shared" si="5"/>
        <v>1.0585365853658537</v>
      </c>
      <c r="E28" s="25">
        <f t="shared" si="5"/>
        <v>1.1000000000000001</v>
      </c>
      <c r="F28" s="25">
        <f>F12/F11</f>
        <v>1</v>
      </c>
      <c r="G28" s="25">
        <f t="shared" si="5"/>
        <v>1.0115110925073252</v>
      </c>
      <c r="H28" s="25">
        <f t="shared" si="5"/>
        <v>0.98918918918918919</v>
      </c>
    </row>
    <row r="30" spans="1:12" x14ac:dyDescent="0.25">
      <c r="A30" s="141" t="s">
        <v>199</v>
      </c>
      <c r="B30" s="26">
        <f>GEOMEAN(B20:B28)</f>
        <v>1.0091376744001097</v>
      </c>
      <c r="C30" s="26">
        <f t="shared" ref="C30:H30" si="6">GEOMEAN(C20:C28)</f>
        <v>1.0142783823988397</v>
      </c>
      <c r="D30" s="26">
        <f t="shared" si="6"/>
        <v>1.0288452343155892</v>
      </c>
      <c r="E30" s="26">
        <f t="shared" si="6"/>
        <v>1</v>
      </c>
      <c r="F30" s="26">
        <f t="shared" si="6"/>
        <v>0.93273554464021791</v>
      </c>
      <c r="G30" s="26">
        <f t="shared" si="6"/>
        <v>1.0114709995127704</v>
      </c>
      <c r="H30" s="26">
        <f t="shared" si="6"/>
        <v>1.0322722812051179</v>
      </c>
    </row>
    <row r="31" spans="1:12" x14ac:dyDescent="0.25">
      <c r="A31" s="4"/>
      <c r="B31" s="26"/>
      <c r="C31" s="26"/>
      <c r="D31" s="26"/>
      <c r="E31" s="26"/>
      <c r="F31" s="26"/>
      <c r="G31" s="26"/>
      <c r="H31" s="26"/>
    </row>
    <row r="32" spans="1:12" x14ac:dyDescent="0.25">
      <c r="A32" s="225" t="s">
        <v>198</v>
      </c>
      <c r="B32" s="26">
        <f>B30</f>
        <v>1.0091376744001097</v>
      </c>
      <c r="C32" s="26">
        <f>C30</f>
        <v>1.0142783823988397</v>
      </c>
      <c r="D32" s="26">
        <v>1</v>
      </c>
      <c r="E32" s="26">
        <v>1</v>
      </c>
      <c r="F32" s="26">
        <v>1</v>
      </c>
      <c r="G32" s="26">
        <v>1</v>
      </c>
      <c r="H32" s="26">
        <v>1</v>
      </c>
    </row>
    <row r="33" spans="1:14" x14ac:dyDescent="0.25">
      <c r="A33" s="4"/>
      <c r="B33" s="26"/>
      <c r="C33" s="26"/>
      <c r="D33" s="26"/>
      <c r="E33" s="26"/>
      <c r="F33" s="26"/>
      <c r="G33" s="26"/>
      <c r="H33" s="26"/>
    </row>
    <row r="34" spans="1:14" x14ac:dyDescent="0.25">
      <c r="A34" s="4"/>
      <c r="B34" s="26"/>
      <c r="C34" s="26"/>
      <c r="D34" s="26"/>
      <c r="E34" s="26"/>
      <c r="F34" s="26"/>
      <c r="G34" s="26"/>
      <c r="H34" s="26"/>
    </row>
    <row r="35" spans="1:14" x14ac:dyDescent="0.25">
      <c r="B35"/>
      <c r="C35"/>
      <c r="D35"/>
      <c r="E35"/>
      <c r="F35"/>
      <c r="G35"/>
      <c r="H35"/>
      <c r="I35"/>
      <c r="J35"/>
      <c r="K35"/>
      <c r="L35"/>
      <c r="M35"/>
      <c r="N35"/>
    </row>
    <row r="36" spans="1:14" x14ac:dyDescent="0.25">
      <c r="B36"/>
      <c r="C36"/>
      <c r="D36"/>
      <c r="E36"/>
      <c r="F36"/>
      <c r="G36"/>
      <c r="H36"/>
      <c r="I36"/>
      <c r="J36"/>
      <c r="K36"/>
      <c r="L36"/>
      <c r="M36"/>
      <c r="N36"/>
    </row>
    <row r="37" spans="1:14" x14ac:dyDescent="0.25">
      <c r="B37"/>
      <c r="C37"/>
      <c r="D37"/>
      <c r="E37"/>
      <c r="F37"/>
      <c r="G37"/>
      <c r="H37"/>
      <c r="I37"/>
      <c r="J37"/>
      <c r="K37"/>
      <c r="L37"/>
      <c r="M37"/>
      <c r="N37"/>
    </row>
    <row r="38" spans="1:14" x14ac:dyDescent="0.25">
      <c r="B38"/>
      <c r="C38"/>
      <c r="D38"/>
      <c r="E38"/>
      <c r="F38"/>
      <c r="G38"/>
      <c r="H38"/>
      <c r="I38"/>
      <c r="J38"/>
      <c r="K38"/>
      <c r="L38"/>
      <c r="M38"/>
      <c r="N38"/>
    </row>
    <row r="39" spans="1:14" x14ac:dyDescent="0.25">
      <c r="B39"/>
      <c r="C39"/>
      <c r="D39"/>
      <c r="E39"/>
      <c r="F39"/>
      <c r="G39"/>
      <c r="H39"/>
      <c r="I39"/>
      <c r="J39"/>
      <c r="K39"/>
      <c r="L39"/>
      <c r="M39"/>
      <c r="N39"/>
    </row>
    <row r="40" spans="1:14" x14ac:dyDescent="0.25">
      <c r="B40"/>
      <c r="C40"/>
      <c r="D40"/>
      <c r="E40"/>
      <c r="F40"/>
      <c r="G40"/>
      <c r="H40"/>
      <c r="I40"/>
      <c r="J40"/>
      <c r="K40"/>
      <c r="L40"/>
      <c r="M40"/>
      <c r="N40"/>
    </row>
    <row r="41" spans="1:14" x14ac:dyDescent="0.25">
      <c r="B41"/>
      <c r="C41"/>
      <c r="D41"/>
      <c r="E41"/>
      <c r="F41"/>
      <c r="G41"/>
      <c r="H41"/>
      <c r="I41"/>
      <c r="J41"/>
      <c r="K41"/>
      <c r="L41"/>
      <c r="M41"/>
      <c r="N41"/>
    </row>
    <row r="42" spans="1:14" x14ac:dyDescent="0.25">
      <c r="B42"/>
      <c r="C42"/>
      <c r="D42"/>
      <c r="E42"/>
      <c r="F42"/>
      <c r="G42"/>
      <c r="H42"/>
      <c r="I42"/>
      <c r="J42"/>
      <c r="K42"/>
      <c r="L42"/>
      <c r="M42"/>
      <c r="N42"/>
    </row>
    <row r="43" spans="1:14" x14ac:dyDescent="0.25">
      <c r="B43"/>
      <c r="C43"/>
      <c r="D43"/>
      <c r="E43"/>
      <c r="F43"/>
      <c r="G43"/>
      <c r="H43"/>
      <c r="I43"/>
      <c r="J43"/>
      <c r="K43"/>
      <c r="L43"/>
      <c r="M43"/>
      <c r="N43"/>
    </row>
    <row r="44" spans="1:14" x14ac:dyDescent="0.25">
      <c r="B44" s="26"/>
      <c r="C44" s="26"/>
      <c r="D44" s="26"/>
      <c r="E44" s="26"/>
      <c r="F44" s="26"/>
      <c r="G44" s="26"/>
      <c r="H44" s="26"/>
    </row>
    <row r="45" spans="1:14" x14ac:dyDescent="0.25">
      <c r="B45" s="26"/>
      <c r="C45" s="26"/>
      <c r="D45" s="26"/>
      <c r="E45" s="26"/>
      <c r="F45" s="26"/>
      <c r="G45" s="26"/>
      <c r="H45" s="26"/>
    </row>
    <row r="46" spans="1:14" x14ac:dyDescent="0.25">
      <c r="B46" s="26"/>
      <c r="C46" s="26"/>
      <c r="D46" s="26"/>
      <c r="E46" s="26"/>
      <c r="F46" s="26"/>
      <c r="G46" s="26"/>
      <c r="H46" s="26"/>
    </row>
    <row r="47" spans="1:14" x14ac:dyDescent="0.25">
      <c r="B47" s="26"/>
      <c r="C47" s="26"/>
      <c r="D47" s="26"/>
      <c r="E47" s="26"/>
      <c r="F47" s="26"/>
      <c r="G47" s="26"/>
      <c r="H47" s="26"/>
    </row>
    <row r="48" spans="1:14" x14ac:dyDescent="0.25">
      <c r="B48" s="26"/>
      <c r="C48" s="26"/>
      <c r="D48" s="26"/>
      <c r="E48" s="26"/>
      <c r="F48" s="26"/>
      <c r="G48" s="26"/>
      <c r="H48" s="26"/>
    </row>
    <row r="49" spans="1:11" x14ac:dyDescent="0.25">
      <c r="B49" s="26"/>
      <c r="C49" s="26"/>
      <c r="D49" s="26"/>
      <c r="E49" s="26"/>
      <c r="F49" s="26"/>
      <c r="G49" s="26"/>
      <c r="H49" s="26"/>
    </row>
    <row r="50" spans="1:11" x14ac:dyDescent="0.25">
      <c r="B50" s="26"/>
      <c r="C50" s="26"/>
      <c r="D50" s="26"/>
      <c r="E50" s="26"/>
      <c r="F50" s="26"/>
      <c r="G50" s="26"/>
      <c r="H50" s="26"/>
    </row>
    <row r="51" spans="1:11" hidden="1" x14ac:dyDescent="0.25">
      <c r="B51" s="26"/>
      <c r="C51" s="26"/>
      <c r="D51" s="26"/>
      <c r="E51" s="26"/>
      <c r="F51" s="26"/>
      <c r="G51" s="26"/>
      <c r="H51" s="26"/>
    </row>
    <row r="52" spans="1:11" hidden="1" x14ac:dyDescent="0.25">
      <c r="B52" s="26"/>
      <c r="C52" s="26"/>
      <c r="G52" s="26"/>
      <c r="H52" s="26"/>
    </row>
    <row r="53" spans="1:11" hidden="1" x14ac:dyDescent="0.25">
      <c r="D53" s="6" t="e">
        <f>#REF!*#REF!</f>
        <v>#REF!</v>
      </c>
    </row>
    <row r="54" spans="1:11" hidden="1" x14ac:dyDescent="0.25">
      <c r="A54">
        <v>2008</v>
      </c>
      <c r="B54" s="6" t="e">
        <f>#REF!*#REF!</f>
        <v>#REF!</v>
      </c>
      <c r="C54" s="6" t="e">
        <f>#REF!*#REF!</f>
        <v>#REF!</v>
      </c>
      <c r="D54" s="6" t="e">
        <f>#REF!*#REF!</f>
        <v>#REF!</v>
      </c>
      <c r="G54" s="6" t="e">
        <f>#REF!*#REF!</f>
        <v>#REF!</v>
      </c>
      <c r="H54" s="6" t="e">
        <f>#REF!*#REF!</f>
        <v>#REF!</v>
      </c>
      <c r="I54" s="6" t="e">
        <f>SUM(B54:H54)</f>
        <v>#REF!</v>
      </c>
      <c r="J54" s="6" t="e">
        <f>SUM(#REF!)</f>
        <v>#REF!</v>
      </c>
      <c r="K54" s="6" t="e">
        <f>J54-I54</f>
        <v>#REF!</v>
      </c>
    </row>
    <row r="55" spans="1:11" hidden="1" x14ac:dyDescent="0.25">
      <c r="A55">
        <v>2009</v>
      </c>
      <c r="B55" s="6" t="e">
        <f>#REF!*#REF!</f>
        <v>#REF!</v>
      </c>
      <c r="C55" s="6" t="e">
        <f>#REF!*#REF!</f>
        <v>#REF!</v>
      </c>
      <c r="G55" s="6" t="e">
        <f>#REF!*#REF!</f>
        <v>#REF!</v>
      </c>
      <c r="H55" s="6" t="e">
        <f>#REF!*#REF!</f>
        <v>#REF!</v>
      </c>
      <c r="I55" s="6" t="e">
        <f>SUM(B55:H55)</f>
        <v>#REF!</v>
      </c>
      <c r="J55" s="6" t="e">
        <f>SUM(#REF!)</f>
        <v>#REF!</v>
      </c>
      <c r="K55" s="6" t="e">
        <f>J55-I55</f>
        <v>#REF!</v>
      </c>
    </row>
    <row r="56" spans="1:11" hidden="1" x14ac:dyDescent="0.25"/>
    <row r="57" spans="1:11" hidden="1" x14ac:dyDescent="0.25">
      <c r="A57" t="s">
        <v>19</v>
      </c>
    </row>
    <row r="58" spans="1:11" hidden="1" x14ac:dyDescent="0.25">
      <c r="D58" s="27">
        <v>0.65</v>
      </c>
      <c r="E58" s="27"/>
      <c r="F58" s="27"/>
    </row>
    <row r="59" spans="1:11" hidden="1" x14ac:dyDescent="0.25">
      <c r="A59">
        <v>2008</v>
      </c>
      <c r="B59" s="27">
        <v>1</v>
      </c>
      <c r="C59" s="27">
        <v>1</v>
      </c>
      <c r="D59" s="27">
        <v>0.65</v>
      </c>
      <c r="E59" s="27"/>
      <c r="F59" s="27"/>
      <c r="G59" s="27">
        <v>0</v>
      </c>
      <c r="H59" s="27">
        <v>0</v>
      </c>
    </row>
    <row r="60" spans="1:11" hidden="1" x14ac:dyDescent="0.25">
      <c r="A60">
        <v>2009</v>
      </c>
      <c r="B60" s="27">
        <v>1</v>
      </c>
      <c r="C60" s="27">
        <v>1</v>
      </c>
      <c r="G60" s="27">
        <v>0</v>
      </c>
      <c r="H60" s="27">
        <v>0</v>
      </c>
    </row>
    <row r="61" spans="1:11" hidden="1" x14ac:dyDescent="0.25"/>
    <row r="62" spans="1:11" hidden="1" x14ac:dyDescent="0.25">
      <c r="A62" t="s">
        <v>20</v>
      </c>
    </row>
    <row r="63" spans="1:11" hidden="1" x14ac:dyDescent="0.25">
      <c r="D63" s="6" t="e">
        <f>D53*D58</f>
        <v>#REF!</v>
      </c>
    </row>
    <row r="64" spans="1:11" hidden="1" x14ac:dyDescent="0.25">
      <c r="A64">
        <v>2008</v>
      </c>
      <c r="B64" s="6" t="e">
        <f>B54*B59</f>
        <v>#REF!</v>
      </c>
      <c r="C64" s="6" t="e">
        <f>C54*C59</f>
        <v>#REF!</v>
      </c>
      <c r="D64" s="6" t="e">
        <f>D54*D59</f>
        <v>#REF!</v>
      </c>
      <c r="G64" s="6" t="e">
        <f>G54*G59</f>
        <v>#REF!</v>
      </c>
      <c r="H64" s="6" t="e">
        <f>H54*H59</f>
        <v>#REF!</v>
      </c>
      <c r="I64" s="6" t="e">
        <f>SUM(B64:H64)</f>
        <v>#REF!</v>
      </c>
    </row>
    <row r="65" spans="1:10" hidden="1" x14ac:dyDescent="0.25">
      <c r="A65">
        <v>2009</v>
      </c>
      <c r="B65" s="6" t="e">
        <f>B55*B60</f>
        <v>#REF!</v>
      </c>
      <c r="C65" s="6" t="e">
        <f>C55*C60</f>
        <v>#REF!</v>
      </c>
      <c r="G65" s="6" t="e">
        <f>G55*G60</f>
        <v>#REF!</v>
      </c>
      <c r="H65" s="6" t="e">
        <f>H55*H60</f>
        <v>#REF!</v>
      </c>
      <c r="I65" s="6" t="e">
        <f>SUM(B65:H65)</f>
        <v>#REF!</v>
      </c>
    </row>
    <row r="66" spans="1:10" hidden="1" x14ac:dyDescent="0.25"/>
    <row r="67" spans="1:10" hidden="1" x14ac:dyDescent="0.25">
      <c r="A67" t="s">
        <v>21</v>
      </c>
    </row>
    <row r="68" spans="1:10" hidden="1" x14ac:dyDescent="0.25">
      <c r="D68" s="6" t="e">
        <f>D63/$I$64*$K$54</f>
        <v>#REF!</v>
      </c>
    </row>
    <row r="69" spans="1:10" hidden="1" x14ac:dyDescent="0.25">
      <c r="A69">
        <v>2008</v>
      </c>
      <c r="B69" s="6" t="e">
        <f>B64/$I$64*$K$54</f>
        <v>#REF!</v>
      </c>
      <c r="C69" s="6" t="e">
        <f>C64/$I$64*$K$54</f>
        <v>#REF!</v>
      </c>
      <c r="D69" s="6" t="e">
        <f>D64/$I$65*$K$55</f>
        <v>#REF!</v>
      </c>
      <c r="G69" s="6" t="e">
        <f>G64/$I$64*$K$54</f>
        <v>#REF!</v>
      </c>
      <c r="H69" s="6" t="e">
        <f>H64/$I$64*$K$54</f>
        <v>#REF!</v>
      </c>
    </row>
    <row r="70" spans="1:10" hidden="1" x14ac:dyDescent="0.25">
      <c r="A70">
        <v>2009</v>
      </c>
      <c r="B70" s="6" t="e">
        <f>B65/$I$65*$K$55</f>
        <v>#REF!</v>
      </c>
      <c r="C70" s="6" t="e">
        <f>C65/$I$65*$K$55</f>
        <v>#REF!</v>
      </c>
      <c r="G70" s="6" t="e">
        <f>G65/$I$65*$K$55</f>
        <v>#REF!</v>
      </c>
      <c r="H70" s="6" t="e">
        <f>H65/$I$65*$K$55</f>
        <v>#REF!</v>
      </c>
    </row>
    <row r="71" spans="1:10" hidden="1" x14ac:dyDescent="0.25"/>
    <row r="72" spans="1:10" hidden="1" x14ac:dyDescent="0.25">
      <c r="A72" t="s">
        <v>22</v>
      </c>
    </row>
    <row r="73" spans="1:10" hidden="1" x14ac:dyDescent="0.25">
      <c r="D73" s="6" t="e">
        <f>D53+D68</f>
        <v>#REF!</v>
      </c>
      <c r="J73" s="6" t="s">
        <v>23</v>
      </c>
    </row>
    <row r="74" spans="1:10" hidden="1" x14ac:dyDescent="0.25">
      <c r="A74">
        <v>2008</v>
      </c>
      <c r="B74" s="6" t="e">
        <f>B54+B69</f>
        <v>#REF!</v>
      </c>
      <c r="C74" s="6" t="e">
        <f>C54+C69</f>
        <v>#REF!</v>
      </c>
      <c r="D74" s="6" t="e">
        <f>D54+D69</f>
        <v>#REF!</v>
      </c>
      <c r="G74" s="6" t="e">
        <f>G54+G69</f>
        <v>#REF!</v>
      </c>
      <c r="H74" s="6" t="e">
        <f>H54+H69</f>
        <v>#REF!</v>
      </c>
      <c r="I74" s="6" t="e">
        <f>SUM(B74:H74)</f>
        <v>#REF!</v>
      </c>
      <c r="J74" s="6" t="e">
        <f>I74-J54</f>
        <v>#REF!</v>
      </c>
    </row>
    <row r="75" spans="1:10" hidden="1" x14ac:dyDescent="0.25">
      <c r="A75">
        <v>2009</v>
      </c>
      <c r="B75" s="6" t="e">
        <f>B55+B70</f>
        <v>#REF!</v>
      </c>
      <c r="C75" s="6" t="e">
        <f>C55+C70</f>
        <v>#REF!</v>
      </c>
      <c r="G75" s="6" t="e">
        <f>G55+G70</f>
        <v>#REF!</v>
      </c>
      <c r="H75" s="6" t="e">
        <f>H55+H70</f>
        <v>#REF!</v>
      </c>
      <c r="I75" s="6" t="e">
        <f>SUM(B75:H75)</f>
        <v>#REF!</v>
      </c>
      <c r="J75" s="6" t="e">
        <f>I75-J55</f>
        <v>#REF!</v>
      </c>
    </row>
    <row r="76" spans="1:10" hidden="1" x14ac:dyDescent="0.25"/>
    <row r="77" spans="1:10" hidden="1" x14ac:dyDescent="0.25">
      <c r="A77" t="s">
        <v>24</v>
      </c>
    </row>
    <row r="78" spans="1:10" hidden="1" x14ac:dyDescent="0.25">
      <c r="D78" s="16" t="e">
        <f>(D53-D73)/D53</f>
        <v>#REF!</v>
      </c>
      <c r="E78" s="16"/>
      <c r="F78" s="16"/>
    </row>
    <row r="79" spans="1:10" hidden="1" x14ac:dyDescent="0.25">
      <c r="A79">
        <v>2008</v>
      </c>
      <c r="B79" s="16" t="e">
        <f>(B54-B74)/B54</f>
        <v>#REF!</v>
      </c>
      <c r="C79" s="16" t="e">
        <f>(C54-C74)/C54</f>
        <v>#REF!</v>
      </c>
      <c r="D79" s="16" t="e">
        <f>(D54-D74)/D54</f>
        <v>#REF!</v>
      </c>
      <c r="E79" s="16"/>
      <c r="F79" s="16"/>
      <c r="G79" s="16" t="e">
        <f>(G54-G74)/G54</f>
        <v>#REF!</v>
      </c>
      <c r="H79" s="16" t="e">
        <f>(H54-H74)/H54</f>
        <v>#REF!</v>
      </c>
    </row>
    <row r="80" spans="1:10" hidden="1" x14ac:dyDescent="0.25">
      <c r="A80">
        <v>2009</v>
      </c>
      <c r="B80" s="16" t="e">
        <f>(B55-B75)/B55</f>
        <v>#REF!</v>
      </c>
      <c r="C80" s="16" t="e">
        <f>(C55-C75)/C55</f>
        <v>#REF!</v>
      </c>
      <c r="G80" s="16" t="e">
        <f>(G55-G75)/G55</f>
        <v>#REF!</v>
      </c>
      <c r="H80" s="16" t="e">
        <f>(H55-H75)/H55</f>
        <v>#REF!</v>
      </c>
    </row>
    <row r="81" hidden="1" x14ac:dyDescent="0.25"/>
    <row r="82" hidden="1" x14ac:dyDescent="0.25"/>
    <row r="83" hidden="1" x14ac:dyDescent="0.25"/>
  </sheetData>
  <mergeCells count="2">
    <mergeCell ref="B1:E1"/>
    <mergeCell ref="F1:H1"/>
  </mergeCells>
  <pageMargins left="0.38" right="0.75" top="0.73" bottom="0.74" header="0.5" footer="0.5"/>
  <pageSetup scale="70" orientation="portrait" r:id="rId1"/>
  <headerFooter alignWithMargins="0"/>
  <ignoredErrors>
    <ignoredError sqref="I3:I12" formulaRange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K53"/>
  <sheetViews>
    <sheetView zoomScaleNormal="100" workbookViewId="0">
      <selection activeCell="B34" sqref="B34"/>
    </sheetView>
  </sheetViews>
  <sheetFormatPr defaultColWidth="9.33203125" defaultRowHeight="13.2" x14ac:dyDescent="0.25"/>
  <cols>
    <col min="1" max="1" width="11" customWidth="1"/>
    <col min="2" max="2" width="14.33203125" style="6" bestFit="1" customWidth="1"/>
    <col min="3" max="4" width="14.33203125" style="6" customWidth="1"/>
    <col min="5" max="5" width="17.6640625" style="6" customWidth="1"/>
    <col min="6" max="7" width="12.6640625" style="6" bestFit="1" customWidth="1"/>
    <col min="8" max="8" width="11.6640625" style="6" bestFit="1" customWidth="1"/>
    <col min="9" max="9" width="10.6640625" style="6" bestFit="1" customWidth="1"/>
    <col min="10" max="11" width="9.33203125" style="6"/>
  </cols>
  <sheetData>
    <row r="1" spans="1:6" ht="42" customHeight="1" x14ac:dyDescent="0.25">
      <c r="A1" t="s">
        <v>170</v>
      </c>
      <c r="B1" s="8" t="str">
        <f>'Rate Class Customer Model'!D2</f>
        <v>GS&gt;50 to 999</v>
      </c>
      <c r="C1" s="8" t="str">
        <f>'Rate Class Customer Model'!E2</f>
        <v>GS&gt; 1000 to 4999</v>
      </c>
      <c r="D1" s="8" t="str">
        <f>'Rate Class Customer Model'!F2</f>
        <v>Sentinels</v>
      </c>
      <c r="E1" s="8" t="str">
        <f>'Rate Class Customer Model'!G2</f>
        <v>Streetlights</v>
      </c>
      <c r="F1" s="6" t="s">
        <v>11</v>
      </c>
    </row>
    <row r="2" spans="1:6" x14ac:dyDescent="0.25">
      <c r="A2" s="31">
        <v>2010</v>
      </c>
      <c r="B2" s="152">
        <v>320892.79120000004</v>
      </c>
      <c r="C2" s="153">
        <v>285634.91000000003</v>
      </c>
      <c r="D2" s="153">
        <v>585.82999999999993</v>
      </c>
      <c r="E2" s="152">
        <v>7569.3000000000011</v>
      </c>
      <c r="F2" s="6">
        <f t="shared" ref="F2:F13" si="0">SUM(B2:E2)</f>
        <v>614682.83120000002</v>
      </c>
    </row>
    <row r="3" spans="1:6" x14ac:dyDescent="0.25">
      <c r="A3" s="31">
        <v>2011</v>
      </c>
      <c r="B3" s="152">
        <v>318710.76</v>
      </c>
      <c r="C3" s="153">
        <v>294618.27999999997</v>
      </c>
      <c r="D3" s="153">
        <v>530.20999999999992</v>
      </c>
      <c r="E3" s="152">
        <v>7634.1600000000008</v>
      </c>
      <c r="F3" s="6">
        <f t="shared" si="0"/>
        <v>621493.41</v>
      </c>
    </row>
    <row r="4" spans="1:6" x14ac:dyDescent="0.25">
      <c r="A4" s="31">
        <v>2012</v>
      </c>
      <c r="B4" s="152">
        <v>313359.68</v>
      </c>
      <c r="C4" s="153">
        <v>289208.77999999997</v>
      </c>
      <c r="D4" s="153">
        <v>649.59999999999991</v>
      </c>
      <c r="E4" s="153">
        <v>7680.7800000000007</v>
      </c>
      <c r="F4" s="6">
        <f t="shared" si="0"/>
        <v>610898.84</v>
      </c>
    </row>
    <row r="5" spans="1:6" x14ac:dyDescent="0.25">
      <c r="A5" s="31">
        <v>2013</v>
      </c>
      <c r="B5" s="152">
        <v>321135.30999999994</v>
      </c>
      <c r="C5" s="152">
        <v>296491.61</v>
      </c>
      <c r="D5" s="152">
        <v>675.93</v>
      </c>
      <c r="E5" s="152">
        <v>7730.8799999999992</v>
      </c>
      <c r="F5" s="6">
        <f t="shared" si="0"/>
        <v>626033.73</v>
      </c>
    </row>
    <row r="6" spans="1:6" x14ac:dyDescent="0.25">
      <c r="A6" s="31">
        <v>2014</v>
      </c>
      <c r="B6" s="152">
        <v>362945.97000000003</v>
      </c>
      <c r="C6" s="152">
        <v>307814.96999999991</v>
      </c>
      <c r="D6" s="152">
        <f>+D5/D4*D5</f>
        <v>703.32722429187197</v>
      </c>
      <c r="E6" s="152">
        <v>7764.2099999999982</v>
      </c>
      <c r="F6" s="6">
        <f t="shared" si="0"/>
        <v>679228.47722429177</v>
      </c>
    </row>
    <row r="7" spans="1:6" x14ac:dyDescent="0.25">
      <c r="A7" s="31">
        <v>2015</v>
      </c>
      <c r="B7" s="152">
        <v>394735</v>
      </c>
      <c r="C7" s="152">
        <v>289796</v>
      </c>
      <c r="D7" s="152">
        <v>750</v>
      </c>
      <c r="E7" s="152">
        <v>7730</v>
      </c>
      <c r="F7" s="6">
        <f t="shared" si="0"/>
        <v>693011</v>
      </c>
    </row>
    <row r="8" spans="1:6" x14ac:dyDescent="0.25">
      <c r="A8" s="31">
        <v>2016</v>
      </c>
      <c r="B8" s="152">
        <v>390924</v>
      </c>
      <c r="C8" s="152">
        <v>273610</v>
      </c>
      <c r="D8" s="152">
        <v>739</v>
      </c>
      <c r="E8" s="152">
        <v>5129</v>
      </c>
      <c r="F8" s="6">
        <f t="shared" si="0"/>
        <v>670402</v>
      </c>
    </row>
    <row r="9" spans="1:6" x14ac:dyDescent="0.25">
      <c r="A9" s="31">
        <v>2017</v>
      </c>
      <c r="B9" s="152">
        <v>394783</v>
      </c>
      <c r="C9" s="152">
        <v>262132</v>
      </c>
      <c r="D9" s="152">
        <v>704</v>
      </c>
      <c r="E9" s="152">
        <v>3155</v>
      </c>
      <c r="F9" s="6">
        <f t="shared" si="0"/>
        <v>660774</v>
      </c>
    </row>
    <row r="10" spans="1:6" x14ac:dyDescent="0.25">
      <c r="A10" s="31">
        <v>2018</v>
      </c>
      <c r="B10" s="152">
        <v>410875</v>
      </c>
      <c r="C10" s="152">
        <v>248453</v>
      </c>
      <c r="D10" s="152">
        <v>695</v>
      </c>
      <c r="E10" s="152">
        <v>3043</v>
      </c>
      <c r="F10" s="6">
        <f t="shared" si="0"/>
        <v>663066</v>
      </c>
    </row>
    <row r="11" spans="1:6" x14ac:dyDescent="0.25">
      <c r="A11" s="31">
        <v>2019</v>
      </c>
      <c r="B11" s="152">
        <v>418610</v>
      </c>
      <c r="C11" s="152">
        <v>219090.77000000002</v>
      </c>
      <c r="D11" s="152">
        <v>679.7399999999999</v>
      </c>
      <c r="E11" s="152">
        <v>3104.73</v>
      </c>
      <c r="F11" s="6">
        <f t="shared" si="0"/>
        <v>641485.24</v>
      </c>
    </row>
    <row r="12" spans="1:6" x14ac:dyDescent="0.25">
      <c r="A12" s="31">
        <v>2020</v>
      </c>
      <c r="B12" s="99">
        <f ca="1">('Rate Class Energy Model'!J30 - 'Rate Class Energy Model'!J50)*'Rate Class Load Model'!B30+B33</f>
        <v>414750.46065269754</v>
      </c>
      <c r="C12" s="99">
        <f ca="1">('Rate Class Energy Model'!K30 - 'Rate Class Energy Model'!K50)*'Rate Class Load Model'!C30+C33</f>
        <v>193436.28044630017</v>
      </c>
      <c r="D12" s="99">
        <f ca="1">'Rate Class Energy Model'!L30*'Rate Class Load Model'!D30</f>
        <v>679.7399999999999</v>
      </c>
      <c r="E12" s="99">
        <f ca="1">'Rate Class Energy Model'!M30*'Rate Class Load Model'!E30</f>
        <v>3104.73</v>
      </c>
      <c r="F12" s="6">
        <f t="shared" ca="1" si="0"/>
        <v>611971.21109899762</v>
      </c>
    </row>
    <row r="13" spans="1:6" x14ac:dyDescent="0.25">
      <c r="A13" s="31">
        <v>2021</v>
      </c>
      <c r="B13" s="99">
        <f ca="1">('Rate Class Energy Model'!J31 - 'Rate Class Energy Model'!J51)*'Rate Class Load Model'!B30+B34</f>
        <v>411665.9339154677</v>
      </c>
      <c r="C13" s="99">
        <f ca="1">('Rate Class Energy Model'!K31 - 'Rate Class Energy Model'!K51)*'Rate Class Load Model'!C30+C34</f>
        <v>193028.92113586434</v>
      </c>
      <c r="D13" s="99">
        <f ca="1">'Rate Class Energy Model'!L31*'Rate Class Load Model'!D30</f>
        <v>679.7399999999999</v>
      </c>
      <c r="E13" s="99">
        <f ca="1">'Rate Class Energy Model'!M31*'Rate Class Load Model'!E30</f>
        <v>3104.73</v>
      </c>
      <c r="F13" s="6">
        <f t="shared" ca="1" si="0"/>
        <v>608479.32505133201</v>
      </c>
    </row>
    <row r="14" spans="1:6" x14ac:dyDescent="0.25">
      <c r="A14" s="4"/>
      <c r="B14" s="29"/>
      <c r="C14" s="29"/>
      <c r="D14" s="29"/>
      <c r="E14" s="29"/>
    </row>
    <row r="15" spans="1:6" x14ac:dyDescent="0.25">
      <c r="A15" s="4"/>
      <c r="B15" s="29"/>
      <c r="C15" s="29"/>
      <c r="D15" s="29"/>
      <c r="E15" s="29"/>
    </row>
    <row r="16" spans="1:6" x14ac:dyDescent="0.25">
      <c r="A16" s="167" t="s">
        <v>175</v>
      </c>
      <c r="B16" s="29"/>
      <c r="C16" s="29"/>
      <c r="D16" s="29"/>
      <c r="E16" s="29"/>
    </row>
    <row r="17" spans="1:9" x14ac:dyDescent="0.25">
      <c r="A17" s="4">
        <v>2010</v>
      </c>
      <c r="B17" s="29">
        <f>B2/'Rate Class Energy Model'!J3</f>
        <v>2.7778810763578105E-3</v>
      </c>
      <c r="C17" s="29">
        <f>C2/'Rate Class Energy Model'!K3</f>
        <v>2.7935744311115723E-3</v>
      </c>
      <c r="D17" s="29">
        <f>D2/'Rate Class Energy Model'!L3</f>
        <v>1.0254219505516373E-3</v>
      </c>
      <c r="E17" s="29">
        <f>E2/'Rate Class Energy Model'!M3</f>
        <v>2.7948502179165687E-3</v>
      </c>
    </row>
    <row r="18" spans="1:9" x14ac:dyDescent="0.25">
      <c r="A18" s="4">
        <v>2011</v>
      </c>
      <c r="B18" s="29">
        <f>B3/'Rate Class Energy Model'!J4</f>
        <v>2.775400450770077E-3</v>
      </c>
      <c r="C18" s="29">
        <f>C3/'Rate Class Energy Model'!K4</f>
        <v>2.7991535907544197E-3</v>
      </c>
      <c r="D18" s="29">
        <f>D3/'Rate Class Energy Model'!L4</f>
        <v>1.2186046297828523E-3</v>
      </c>
      <c r="E18" s="29">
        <f>E3/'Rate Class Energy Model'!M4</f>
        <v>2.7829376035742176E-3</v>
      </c>
    </row>
    <row r="19" spans="1:9" x14ac:dyDescent="0.25">
      <c r="A19" s="4">
        <v>2012</v>
      </c>
      <c r="B19" s="29">
        <f>B4/'Rate Class Energy Model'!J5</f>
        <v>2.7975104624366762E-3</v>
      </c>
      <c r="C19" s="29">
        <f>C4/'Rate Class Energy Model'!K5</f>
        <v>2.8433625316249492E-3</v>
      </c>
      <c r="D19" s="29">
        <f>D4/'Rate Class Energy Model'!L5</f>
        <v>1.4782250240331033E-3</v>
      </c>
      <c r="E19" s="29">
        <f>E4/'Rate Class Energy Model'!M5</f>
        <v>2.7805102607278897E-3</v>
      </c>
    </row>
    <row r="20" spans="1:9" x14ac:dyDescent="0.25">
      <c r="A20" s="4">
        <v>2013</v>
      </c>
      <c r="B20" s="29">
        <f>B5/'Rate Class Energy Model'!J6</f>
        <v>2.790091153195643E-3</v>
      </c>
      <c r="C20" s="29">
        <f>C5/'Rate Class Energy Model'!K6</f>
        <v>2.6564422142921159E-3</v>
      </c>
      <c r="D20" s="29">
        <f>D5/'Rate Class Energy Model'!L6</f>
        <v>1.5229122574969144E-3</v>
      </c>
      <c r="E20" s="29">
        <f>E5/'Rate Class Energy Model'!M6</f>
        <v>2.7916860097411309E-3</v>
      </c>
    </row>
    <row r="21" spans="1:9" x14ac:dyDescent="0.25">
      <c r="A21" s="4">
        <v>2014</v>
      </c>
      <c r="B21" s="29">
        <f>B6/'Rate Class Energy Model'!J7</f>
        <v>2.8793455306234195E-3</v>
      </c>
      <c r="C21" s="29">
        <f>C6/'Rate Class Energy Model'!K7</f>
        <v>2.6381577503899615E-3</v>
      </c>
      <c r="D21" s="29">
        <f>D6/'Rate Class Energy Model'!L7</f>
        <v>1.5689504008710455E-3</v>
      </c>
      <c r="E21" s="29">
        <f>E6/'Rate Class Energy Model'!M7</f>
        <v>2.7902686800812039E-3</v>
      </c>
    </row>
    <row r="22" spans="1:9" x14ac:dyDescent="0.25">
      <c r="A22" s="4">
        <v>2015</v>
      </c>
      <c r="B22" s="29">
        <f>B7/'Rate Class Energy Model'!J8</f>
        <v>2.8181997466957933E-3</v>
      </c>
      <c r="C22" s="29">
        <f>C7/'Rate Class Energy Model'!K8</f>
        <v>2.5848572264106267E-3</v>
      </c>
      <c r="D22" s="29">
        <f>D7/'Rate Class Energy Model'!L8</f>
        <v>2.2939708329255161E-3</v>
      </c>
      <c r="E22" s="29">
        <f>E7/'Rate Class Energy Model'!M8</f>
        <v>2.7954942274671592E-3</v>
      </c>
    </row>
    <row r="23" spans="1:9" x14ac:dyDescent="0.25">
      <c r="A23" s="4">
        <v>2016</v>
      </c>
      <c r="B23" s="29">
        <f>B8/'Rate Class Energy Model'!J9</f>
        <v>2.8474451146402874E-3</v>
      </c>
      <c r="C23" s="29">
        <f>C8/'Rate Class Energy Model'!K9</f>
        <v>2.5524977876129106E-3</v>
      </c>
      <c r="D23" s="29">
        <f>D8/'Rate Class Energy Model'!L9</f>
        <v>2.7051760743831907E-3</v>
      </c>
      <c r="E23" s="29">
        <f>E8/'Rate Class Energy Model'!M9</f>
        <v>2.7981771749703626E-3</v>
      </c>
    </row>
    <row r="24" spans="1:9" x14ac:dyDescent="0.25">
      <c r="A24" s="4">
        <v>2017</v>
      </c>
      <c r="B24" s="29">
        <f>B9/'Rate Class Energy Model'!J10</f>
        <v>2.9162460039504276E-3</v>
      </c>
      <c r="C24" s="29">
        <f>C9/'Rate Class Energy Model'!K10</f>
        <v>2.6395406700591983E-3</v>
      </c>
      <c r="D24" s="29">
        <f>D9/'Rate Class Energy Model'!L10</f>
        <v>2.7052159945895682E-3</v>
      </c>
      <c r="E24" s="29">
        <f>E9/'Rate Class Energy Model'!M10</f>
        <v>2.7959943282523927E-3</v>
      </c>
    </row>
    <row r="25" spans="1:9" x14ac:dyDescent="0.25">
      <c r="A25" s="4">
        <v>2018</v>
      </c>
      <c r="B25" s="29">
        <f>B10/'Rate Class Energy Model'!J11</f>
        <v>2.8353017889703666E-3</v>
      </c>
      <c r="C25" s="29">
        <f>C10/'Rate Class Energy Model'!K11</f>
        <v>2.7055941111824473E-3</v>
      </c>
      <c r="D25" s="29">
        <f>D10/'Rate Class Energy Model'!L11</f>
        <v>2.653542765946074E-3</v>
      </c>
      <c r="E25" s="29">
        <f>E10/'Rate Class Energy Model'!M11</f>
        <v>2.7822172159176106E-3</v>
      </c>
    </row>
    <row r="26" spans="1:9" x14ac:dyDescent="0.25">
      <c r="A26" s="4">
        <v>2019</v>
      </c>
      <c r="B26" s="29">
        <f>B11/'Rate Class Energy Model'!J12</f>
        <v>2.7839526506556861E-3</v>
      </c>
      <c r="C26" s="29">
        <f>C11/'Rate Class Energy Model'!K12</f>
        <v>2.4718001445322543E-3</v>
      </c>
      <c r="D26" s="29">
        <f>D11/'Rate Class Energy Model'!L12</f>
        <v>2.6986770670056328E-3</v>
      </c>
      <c r="E26" s="29">
        <f>E11/'Rate Class Energy Model'!M12</f>
        <v>3.1693729102012132E-3</v>
      </c>
    </row>
    <row r="27" spans="1:9" x14ac:dyDescent="0.25">
      <c r="B27" s="204"/>
      <c r="C27" s="204"/>
      <c r="D27" s="204"/>
      <c r="E27" s="204"/>
      <c r="F27" s="205"/>
      <c r="G27" s="28"/>
      <c r="H27" s="28"/>
      <c r="I27" s="28"/>
    </row>
    <row r="28" spans="1:9" x14ac:dyDescent="0.25">
      <c r="A28" t="s">
        <v>16</v>
      </c>
      <c r="B28" s="29">
        <f>AVERAGE(B17:B26)</f>
        <v>2.8221373978296184E-3</v>
      </c>
      <c r="C28" s="29">
        <f t="shared" ref="C28:E28" si="1">AVERAGE(C17:C26)</f>
        <v>2.6684980457970455E-3</v>
      </c>
      <c r="D28" s="29">
        <f t="shared" si="1"/>
        <v>1.9870696997585533E-3</v>
      </c>
      <c r="E28" s="29">
        <f t="shared" si="1"/>
        <v>2.828150862884975E-3</v>
      </c>
    </row>
    <row r="30" spans="1:9" x14ac:dyDescent="0.25">
      <c r="A30" t="s">
        <v>198</v>
      </c>
      <c r="B30" s="29">
        <f>B26</f>
        <v>2.7839526506556861E-3</v>
      </c>
      <c r="C30" s="29">
        <f t="shared" ref="C30:E30" si="2">C26</f>
        <v>2.4718001445322543E-3</v>
      </c>
      <c r="D30" s="29">
        <f t="shared" si="2"/>
        <v>2.6986770670056328E-3</v>
      </c>
      <c r="E30" s="29">
        <f t="shared" si="2"/>
        <v>3.1693729102012132E-3</v>
      </c>
    </row>
    <row r="32" spans="1:9" x14ac:dyDescent="0.25">
      <c r="A32" t="s">
        <v>217</v>
      </c>
      <c r="B32" s="27"/>
      <c r="E32" s="27"/>
    </row>
    <row r="33" spans="1:6" x14ac:dyDescent="0.25">
      <c r="A33">
        <v>2020</v>
      </c>
      <c r="B33" s="37">
        <f>B39</f>
        <v>3776.37</v>
      </c>
      <c r="C33" s="37">
        <f>C39</f>
        <v>-24646.050000000003</v>
      </c>
      <c r="D33" s="27"/>
      <c r="E33" s="27"/>
    </row>
    <row r="34" spans="1:6" x14ac:dyDescent="0.25">
      <c r="A34">
        <v>2021</v>
      </c>
      <c r="B34" s="6">
        <f>B33</f>
        <v>3776.37</v>
      </c>
      <c r="C34" s="37">
        <f>C33</f>
        <v>-24646.050000000003</v>
      </c>
    </row>
    <row r="35" spans="1:6" x14ac:dyDescent="0.25">
      <c r="D35" s="232" t="s">
        <v>219</v>
      </c>
      <c r="F35" s="232" t="s">
        <v>220</v>
      </c>
    </row>
    <row r="36" spans="1:6" x14ac:dyDescent="0.25">
      <c r="C36" s="37">
        <f>-759*12/2</f>
        <v>-4554</v>
      </c>
      <c r="D36" s="232">
        <v>1</v>
      </c>
      <c r="F36" s="232"/>
    </row>
    <row r="37" spans="1:6" x14ac:dyDescent="0.25">
      <c r="B37" s="6">
        <v>629.97</v>
      </c>
      <c r="C37" s="37">
        <v>-16945.650000000001</v>
      </c>
      <c r="D37" s="232">
        <v>2</v>
      </c>
      <c r="F37" s="232"/>
    </row>
    <row r="38" spans="1:6" x14ac:dyDescent="0.25">
      <c r="B38" s="6">
        <v>3146.3999999999996</v>
      </c>
      <c r="C38" s="37">
        <v>-3146.4</v>
      </c>
      <c r="D38" s="232">
        <v>3</v>
      </c>
      <c r="F38" s="232"/>
    </row>
    <row r="39" spans="1:6" x14ac:dyDescent="0.25">
      <c r="B39" s="37">
        <f>SUM(B36:B38)</f>
        <v>3776.37</v>
      </c>
      <c r="C39" s="37">
        <f>SUM(C36:C38)</f>
        <v>-24646.050000000003</v>
      </c>
      <c r="D39" s="232" t="s">
        <v>221</v>
      </c>
    </row>
    <row r="52" spans="2:5" x14ac:dyDescent="0.25">
      <c r="B52" s="16"/>
      <c r="C52" s="16"/>
      <c r="D52" s="16"/>
      <c r="E52" s="16"/>
    </row>
    <row r="53" spans="2:5" x14ac:dyDescent="0.25">
      <c r="B53" s="16"/>
      <c r="C53" s="16"/>
      <c r="D53" s="16"/>
      <c r="E53" s="16"/>
    </row>
  </sheetData>
  <pageMargins left="0.39370078740157499" right="0.74803149606299202" top="0.74803149606299202" bottom="0.74803149606299202" header="0.511811023622047" footer="0.511811023622047"/>
  <pageSetup orientation="portrait" horizontalDpi="300" verticalDpi="300" r:id="rId1"/>
  <headerFooter alignWithMargins="0"/>
  <ignoredErrors>
    <ignoredError sqref="F2:F6 F7:F11" formulaRange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2:AG154"/>
  <sheetViews>
    <sheetView workbookViewId="0">
      <pane xSplit="1" ySplit="2" topLeftCell="B3" activePane="bottomRight" state="frozen"/>
      <selection activeCell="M39" sqref="M39"/>
      <selection pane="topRight" activeCell="M39" sqref="M39"/>
      <selection pane="bottomLeft" activeCell="M39" sqref="M39"/>
      <selection pane="bottomRight" activeCell="M39" sqref="M39"/>
    </sheetView>
  </sheetViews>
  <sheetFormatPr defaultColWidth="9.33203125" defaultRowHeight="13.2" x14ac:dyDescent="0.25"/>
  <cols>
    <col min="1" max="1" width="11.6640625" customWidth="1"/>
    <col min="2" max="2" width="18" style="6" customWidth="1"/>
    <col min="3" max="3" width="11.6640625" style="1" customWidth="1"/>
    <col min="4" max="4" width="13.44140625" style="1" customWidth="1"/>
    <col min="5" max="5" width="12.44140625" style="1" customWidth="1"/>
    <col min="6" max="6" width="14.44140625" style="35" customWidth="1"/>
    <col min="7" max="7" width="10.33203125" style="1" customWidth="1"/>
    <col min="8" max="8" width="12.44140625" style="1" customWidth="1"/>
    <col min="9" max="9" width="13" style="1" customWidth="1"/>
    <col min="10" max="10" width="15.44140625" style="1" bestFit="1" customWidth="1"/>
    <col min="11" max="11" width="17" style="1" customWidth="1"/>
    <col min="12" max="12" width="12.44140625" style="1" customWidth="1"/>
    <col min="13" max="13" width="25.6640625" bestFit="1" customWidth="1"/>
    <col min="14" max="16" width="18" customWidth="1"/>
    <col min="17" max="17" width="17.33203125" customWidth="1"/>
    <col min="18" max="19" width="15.6640625" customWidth="1"/>
    <col min="20" max="20" width="15" customWidth="1"/>
    <col min="21" max="22" width="14.33203125" bestFit="1" customWidth="1"/>
    <col min="23" max="24" width="11.6640625" bestFit="1" customWidth="1"/>
    <col min="25" max="25" width="12.5546875" style="6" customWidth="1"/>
    <col min="26" max="26" width="11.33203125" style="6" customWidth="1"/>
    <col min="27" max="27" width="11.5546875" style="6" customWidth="1"/>
    <col min="28" max="28" width="9.33203125" style="6" customWidth="1"/>
    <col min="29" max="29" width="9.33203125" style="6"/>
    <col min="30" max="30" width="11.6640625" style="6" bestFit="1" customWidth="1"/>
    <col min="31" max="31" width="10.6640625" style="6" bestFit="1" customWidth="1"/>
    <col min="32" max="33" width="9.33203125" style="6"/>
  </cols>
  <sheetData>
    <row r="2" spans="1:27" ht="42" customHeight="1" x14ac:dyDescent="0.25">
      <c r="B2" s="7" t="s">
        <v>78</v>
      </c>
      <c r="C2" s="12" t="s">
        <v>3</v>
      </c>
      <c r="D2" s="12" t="s">
        <v>4</v>
      </c>
      <c r="E2" s="12" t="s">
        <v>26</v>
      </c>
      <c r="F2" s="33" t="s">
        <v>7</v>
      </c>
      <c r="G2" s="12" t="s">
        <v>5</v>
      </c>
      <c r="H2" s="12" t="s">
        <v>66</v>
      </c>
      <c r="I2" s="12" t="s">
        <v>6</v>
      </c>
      <c r="J2" s="12" t="s">
        <v>12</v>
      </c>
      <c r="K2" s="12" t="s">
        <v>13</v>
      </c>
      <c r="L2" s="12" t="s">
        <v>14</v>
      </c>
      <c r="M2" t="s">
        <v>27</v>
      </c>
      <c r="Y2" s="9"/>
      <c r="Z2" s="9"/>
      <c r="AA2" s="9"/>
    </row>
    <row r="3" spans="1:27" ht="13.8" thickBot="1" x14ac:dyDescent="0.3">
      <c r="A3" s="3">
        <v>37622</v>
      </c>
      <c r="B3" s="44">
        <v>43446520.175941855</v>
      </c>
      <c r="C3" s="59">
        <v>829.5</v>
      </c>
      <c r="D3" s="59">
        <v>0</v>
      </c>
      <c r="E3" s="61">
        <v>0</v>
      </c>
      <c r="F3" s="62">
        <v>125.66024937363977</v>
      </c>
      <c r="G3" s="61">
        <v>31</v>
      </c>
      <c r="H3" s="45">
        <v>50170</v>
      </c>
      <c r="I3" s="61">
        <v>351.91199999999998</v>
      </c>
      <c r="J3" s="10">
        <f>$N$18+C3*$N$19+D3*$N$20+E3*$N$21+F3*$N$22+G3*$N$23+H3*$N$24+I3*$N$25</f>
        <v>45438721.592239544</v>
      </c>
      <c r="K3" s="10"/>
      <c r="L3" s="14"/>
    </row>
    <row r="4" spans="1:27" x14ac:dyDescent="0.25">
      <c r="A4" s="3">
        <v>37653</v>
      </c>
      <c r="B4" s="44">
        <v>41424649.187225088</v>
      </c>
      <c r="C4" s="59">
        <v>699.2</v>
      </c>
      <c r="D4" s="59">
        <v>0</v>
      </c>
      <c r="E4" s="61">
        <v>0</v>
      </c>
      <c r="F4" s="62">
        <v>125.80592062045517</v>
      </c>
      <c r="G4" s="61">
        <v>28</v>
      </c>
      <c r="H4" s="45">
        <v>50392</v>
      </c>
      <c r="I4" s="61">
        <v>319.87200000000001</v>
      </c>
      <c r="J4" s="10">
        <f t="shared" ref="J4:J67" si="0">$N$18+C4*$N$19+D4*$N$20+E4*$N$21+F4*$N$22+G4*$N$23+H4*$N$24+I4*$N$25</f>
        <v>44186219.902829319</v>
      </c>
      <c r="K4" s="10"/>
      <c r="L4" s="14"/>
      <c r="M4" s="50" t="s">
        <v>28</v>
      </c>
      <c r="N4" s="50"/>
    </row>
    <row r="5" spans="1:27" x14ac:dyDescent="0.25">
      <c r="A5" s="3">
        <v>37681</v>
      </c>
      <c r="B5" s="44">
        <v>39855061.856951609</v>
      </c>
      <c r="C5" s="59">
        <v>593.1</v>
      </c>
      <c r="D5" s="59">
        <v>0</v>
      </c>
      <c r="E5" s="61">
        <v>1</v>
      </c>
      <c r="F5" s="62">
        <v>125.9517607362029</v>
      </c>
      <c r="G5" s="61">
        <v>31</v>
      </c>
      <c r="H5" s="45">
        <v>50438</v>
      </c>
      <c r="I5" s="61">
        <v>336.28800000000001</v>
      </c>
      <c r="J5" s="10">
        <f t="shared" si="0"/>
        <v>41572854.200582579</v>
      </c>
      <c r="K5" s="10"/>
      <c r="L5" s="14"/>
      <c r="M5" s="36" t="s">
        <v>29</v>
      </c>
      <c r="N5" s="58">
        <v>0.86182872144808842</v>
      </c>
    </row>
    <row r="6" spans="1:27" x14ac:dyDescent="0.25">
      <c r="A6" s="3">
        <v>37712</v>
      </c>
      <c r="B6" s="44">
        <v>36478558.175559379</v>
      </c>
      <c r="C6" s="59">
        <v>387.1</v>
      </c>
      <c r="D6" s="59">
        <v>0</v>
      </c>
      <c r="E6" s="61">
        <v>1</v>
      </c>
      <c r="F6" s="62">
        <v>126.09776991664374</v>
      </c>
      <c r="G6" s="61">
        <v>30</v>
      </c>
      <c r="H6" s="45">
        <v>50542</v>
      </c>
      <c r="I6" s="61">
        <v>336.24</v>
      </c>
      <c r="J6" s="10">
        <f t="shared" si="0"/>
        <v>39592690.363142014</v>
      </c>
      <c r="K6" s="10"/>
      <c r="L6" s="14"/>
      <c r="M6" s="36" t="s">
        <v>30</v>
      </c>
      <c r="N6" s="58">
        <v>0.74274874511284672</v>
      </c>
    </row>
    <row r="7" spans="1:27" x14ac:dyDescent="0.25">
      <c r="A7" s="3">
        <v>37742</v>
      </c>
      <c r="B7" s="44">
        <v>37530913.023522653</v>
      </c>
      <c r="C7" s="59">
        <v>215.8</v>
      </c>
      <c r="D7" s="59">
        <v>0</v>
      </c>
      <c r="E7" s="61">
        <v>1</v>
      </c>
      <c r="F7" s="62">
        <v>126.2439483577654</v>
      </c>
      <c r="G7" s="61">
        <v>31</v>
      </c>
      <c r="H7" s="45">
        <v>50637</v>
      </c>
      <c r="I7" s="61">
        <v>336.28800000000001</v>
      </c>
      <c r="J7" s="10">
        <f t="shared" si="0"/>
        <v>37946078.395406246</v>
      </c>
      <c r="K7" s="10"/>
      <c r="L7" s="14"/>
      <c r="M7" s="36" t="s">
        <v>31</v>
      </c>
      <c r="N7" s="58">
        <v>0.73436011723609174</v>
      </c>
    </row>
    <row r="8" spans="1:27" x14ac:dyDescent="0.25">
      <c r="A8" s="3">
        <v>37773</v>
      </c>
      <c r="B8" s="44">
        <v>40980738.850640655</v>
      </c>
      <c r="C8" s="59">
        <v>54.5</v>
      </c>
      <c r="D8" s="59">
        <v>41.4</v>
      </c>
      <c r="E8" s="61">
        <v>0</v>
      </c>
      <c r="F8" s="62">
        <v>126.3902962557828</v>
      </c>
      <c r="G8" s="61">
        <v>30</v>
      </c>
      <c r="H8" s="45">
        <v>50793</v>
      </c>
      <c r="I8" s="61">
        <v>336.24</v>
      </c>
      <c r="J8" s="10">
        <f t="shared" si="0"/>
        <v>45135420.494667485</v>
      </c>
      <c r="K8" s="10"/>
      <c r="L8" s="14"/>
      <c r="M8" s="36" t="s">
        <v>32</v>
      </c>
      <c r="N8" s="36">
        <v>3236890.8927269015</v>
      </c>
    </row>
    <row r="9" spans="1:27" ht="13.8" thickBot="1" x14ac:dyDescent="0.3">
      <c r="A9" s="3">
        <v>37803</v>
      </c>
      <c r="B9" s="44">
        <v>53492896.003059857</v>
      </c>
      <c r="C9" s="59">
        <v>6.5</v>
      </c>
      <c r="D9" s="59">
        <v>83.9</v>
      </c>
      <c r="E9" s="61">
        <v>0</v>
      </c>
      <c r="F9" s="62">
        <v>126.5368138071383</v>
      </c>
      <c r="G9" s="61">
        <v>31</v>
      </c>
      <c r="H9" s="45">
        <v>50926</v>
      </c>
      <c r="I9" s="61">
        <v>351.91199999999998</v>
      </c>
      <c r="J9" s="10">
        <f t="shared" si="0"/>
        <v>52010246.219151944</v>
      </c>
      <c r="K9" s="10"/>
      <c r="L9" s="14"/>
      <c r="M9" s="48" t="s">
        <v>33</v>
      </c>
      <c r="N9" s="48">
        <v>96</v>
      </c>
    </row>
    <row r="10" spans="1:27" x14ac:dyDescent="0.25">
      <c r="A10" s="3">
        <v>37834</v>
      </c>
      <c r="B10" s="44">
        <v>53069636.498374447</v>
      </c>
      <c r="C10" s="59">
        <v>5.7</v>
      </c>
      <c r="D10" s="59">
        <v>102.6</v>
      </c>
      <c r="E10" s="61">
        <v>0</v>
      </c>
      <c r="F10" s="62">
        <v>126.68350120850199</v>
      </c>
      <c r="G10" s="61">
        <v>31</v>
      </c>
      <c r="H10" s="45">
        <v>51033</v>
      </c>
      <c r="I10" s="61">
        <v>319.92</v>
      </c>
      <c r="J10" s="10">
        <f t="shared" si="0"/>
        <v>55230494.436841577</v>
      </c>
      <c r="K10" s="10"/>
      <c r="L10" s="14"/>
    </row>
    <row r="11" spans="1:27" ht="13.8" thickBot="1" x14ac:dyDescent="0.3">
      <c r="A11" s="3">
        <v>37865</v>
      </c>
      <c r="B11" s="44">
        <v>39251960.040160634</v>
      </c>
      <c r="C11" s="59">
        <v>73.900000000000006</v>
      </c>
      <c r="D11" s="59">
        <v>14.8</v>
      </c>
      <c r="E11" s="61">
        <v>1</v>
      </c>
      <c r="F11" s="62">
        <v>126.83035865677196</v>
      </c>
      <c r="G11" s="61">
        <v>30</v>
      </c>
      <c r="H11" s="45">
        <v>51167</v>
      </c>
      <c r="I11" s="61">
        <v>336.24</v>
      </c>
      <c r="J11" s="10">
        <f t="shared" si="0"/>
        <v>39136804.151691951</v>
      </c>
      <c r="K11" s="10"/>
      <c r="L11" s="14"/>
      <c r="M11" t="s">
        <v>34</v>
      </c>
    </row>
    <row r="12" spans="1:27" x14ac:dyDescent="0.25">
      <c r="A12" s="3">
        <v>37895</v>
      </c>
      <c r="B12" s="44">
        <v>37782501.549053349</v>
      </c>
      <c r="C12" s="59">
        <v>293.5</v>
      </c>
      <c r="D12" s="59">
        <v>0</v>
      </c>
      <c r="E12" s="61">
        <v>1</v>
      </c>
      <c r="F12" s="62">
        <v>126.97738634907456</v>
      </c>
      <c r="G12" s="61">
        <v>31</v>
      </c>
      <c r="H12" s="45">
        <v>51290</v>
      </c>
      <c r="I12" s="61">
        <v>351.91199999999998</v>
      </c>
      <c r="J12" s="10">
        <f t="shared" si="0"/>
        <v>38692965.43506223</v>
      </c>
      <c r="K12" s="10"/>
      <c r="L12" s="14"/>
      <c r="M12" s="49"/>
      <c r="N12" s="49" t="s">
        <v>38</v>
      </c>
      <c r="O12" s="49" t="s">
        <v>39</v>
      </c>
      <c r="P12" s="49" t="s">
        <v>40</v>
      </c>
      <c r="Q12" s="49" t="s">
        <v>41</v>
      </c>
      <c r="R12" s="49" t="s">
        <v>42</v>
      </c>
    </row>
    <row r="13" spans="1:27" x14ac:dyDescent="0.25">
      <c r="A13" s="3">
        <v>37926</v>
      </c>
      <c r="B13" s="44">
        <v>38643918.932874352</v>
      </c>
      <c r="C13" s="59">
        <v>391.5</v>
      </c>
      <c r="D13" s="59">
        <v>0</v>
      </c>
      <c r="E13" s="61">
        <v>1</v>
      </c>
      <c r="F13" s="62">
        <v>127.12458448276465</v>
      </c>
      <c r="G13" s="61">
        <v>30</v>
      </c>
      <c r="H13" s="45">
        <v>51377</v>
      </c>
      <c r="I13" s="61">
        <v>319.68</v>
      </c>
      <c r="J13" s="10">
        <f t="shared" si="0"/>
        <v>39634985.12471842</v>
      </c>
      <c r="K13" s="10"/>
      <c r="L13" s="14"/>
      <c r="M13" s="36" t="s">
        <v>35</v>
      </c>
      <c r="N13" s="36">
        <v>3</v>
      </c>
      <c r="O13" s="36">
        <v>2783097194431071.5</v>
      </c>
      <c r="P13" s="36">
        <v>927699064810357.13</v>
      </c>
      <c r="Q13" s="36">
        <v>88.542340419106381</v>
      </c>
      <c r="R13" s="36">
        <v>5.0211891734197296E-27</v>
      </c>
    </row>
    <row r="14" spans="1:27" x14ac:dyDescent="0.25">
      <c r="A14" s="3">
        <v>37956</v>
      </c>
      <c r="B14" s="44">
        <v>43629588.410786003</v>
      </c>
      <c r="C14" s="59">
        <v>571</v>
      </c>
      <c r="D14" s="59">
        <v>0</v>
      </c>
      <c r="E14" s="61">
        <v>0</v>
      </c>
      <c r="F14" s="62">
        <v>127.27195325542573</v>
      </c>
      <c r="G14" s="61">
        <v>31</v>
      </c>
      <c r="H14" s="45">
        <v>51456</v>
      </c>
      <c r="I14" s="61">
        <v>336.28800000000001</v>
      </c>
      <c r="J14" s="10">
        <f t="shared" si="0"/>
        <v>42953904.34962602</v>
      </c>
      <c r="K14" s="10"/>
      <c r="L14" s="14"/>
      <c r="M14" s="36" t="s">
        <v>36</v>
      </c>
      <c r="N14" s="36">
        <v>92</v>
      </c>
      <c r="O14" s="36">
        <v>963926563930488.88</v>
      </c>
      <c r="P14" s="36">
        <v>10477462651418.357</v>
      </c>
      <c r="Q14" s="36"/>
      <c r="R14" s="36"/>
    </row>
    <row r="15" spans="1:27" ht="13.8" thickBot="1" x14ac:dyDescent="0.3">
      <c r="A15" s="3">
        <v>37987</v>
      </c>
      <c r="B15" s="44">
        <v>50137810.049722694</v>
      </c>
      <c r="C15" s="59">
        <v>859.1</v>
      </c>
      <c r="D15" s="59">
        <v>0</v>
      </c>
      <c r="E15" s="61">
        <v>0</v>
      </c>
      <c r="F15" s="62">
        <v>127.53411264087498</v>
      </c>
      <c r="G15" s="61">
        <v>31</v>
      </c>
      <c r="H15" s="45">
        <v>51561</v>
      </c>
      <c r="I15" s="61">
        <v>336.28800000000001</v>
      </c>
      <c r="J15" s="10">
        <f t="shared" si="0"/>
        <v>45723249.98829896</v>
      </c>
      <c r="K15" s="10"/>
      <c r="L15" s="14"/>
      <c r="M15" s="48" t="s">
        <v>11</v>
      </c>
      <c r="N15" s="48">
        <v>95</v>
      </c>
      <c r="O15" s="48">
        <v>3747023758361560.5</v>
      </c>
      <c r="P15" s="48"/>
      <c r="Q15" s="48"/>
      <c r="R15" s="48"/>
    </row>
    <row r="16" spans="1:27" ht="13.8" thickBot="1" x14ac:dyDescent="0.3">
      <c r="A16" s="3">
        <v>38018</v>
      </c>
      <c r="B16" s="44">
        <v>41976613.291260272</v>
      </c>
      <c r="C16" s="59">
        <v>647.70000000000005</v>
      </c>
      <c r="D16" s="59">
        <v>0</v>
      </c>
      <c r="E16" s="61">
        <v>0</v>
      </c>
      <c r="F16" s="62">
        <v>127.79681203173486</v>
      </c>
      <c r="G16" s="61">
        <v>29</v>
      </c>
      <c r="H16" s="45">
        <v>51656</v>
      </c>
      <c r="I16" s="61">
        <v>320.16000000000003</v>
      </c>
      <c r="J16" s="10">
        <f t="shared" si="0"/>
        <v>43691178.943469182</v>
      </c>
      <c r="K16" s="10"/>
      <c r="L16" s="14"/>
    </row>
    <row r="17" spans="1:21" x14ac:dyDescent="0.25">
      <c r="A17" s="3">
        <v>38047</v>
      </c>
      <c r="B17" s="44">
        <v>40379087.846624583</v>
      </c>
      <c r="C17" s="59">
        <v>513.6</v>
      </c>
      <c r="D17" s="59">
        <v>0</v>
      </c>
      <c r="E17" s="61">
        <v>1</v>
      </c>
      <c r="F17" s="62">
        <v>128.06005254032812</v>
      </c>
      <c r="G17" s="61">
        <v>31</v>
      </c>
      <c r="H17" s="45">
        <v>51785</v>
      </c>
      <c r="I17" s="61">
        <v>368.28</v>
      </c>
      <c r="J17" s="10">
        <f t="shared" si="0"/>
        <v>40808664.758463524</v>
      </c>
      <c r="K17" s="10"/>
      <c r="L17" s="14"/>
      <c r="M17" s="49"/>
      <c r="N17" s="49" t="s">
        <v>43</v>
      </c>
      <c r="O17" s="49" t="s">
        <v>32</v>
      </c>
      <c r="P17" s="49" t="s">
        <v>44</v>
      </c>
      <c r="Q17" s="49" t="s">
        <v>45</v>
      </c>
      <c r="R17" s="49" t="s">
        <v>46</v>
      </c>
      <c r="S17" s="49" t="s">
        <v>47</v>
      </c>
      <c r="T17" s="49" t="s">
        <v>48</v>
      </c>
      <c r="U17" s="49" t="s">
        <v>49</v>
      </c>
    </row>
    <row r="18" spans="1:21" x14ac:dyDescent="0.25">
      <c r="A18" s="3">
        <v>38078</v>
      </c>
      <c r="B18" s="44">
        <v>35176707.219353609</v>
      </c>
      <c r="C18" s="59">
        <v>329.3</v>
      </c>
      <c r="D18" s="59">
        <v>0</v>
      </c>
      <c r="E18" s="61">
        <v>1</v>
      </c>
      <c r="F18" s="62">
        <v>128.32383528126866</v>
      </c>
      <c r="G18" s="61">
        <v>30</v>
      </c>
      <c r="H18" s="45">
        <v>51882</v>
      </c>
      <c r="I18" s="61">
        <v>336.24</v>
      </c>
      <c r="J18" s="10">
        <f t="shared" si="0"/>
        <v>39037090.995161124</v>
      </c>
      <c r="K18" s="10"/>
      <c r="L18" s="14"/>
      <c r="M18" s="36" t="s">
        <v>37</v>
      </c>
      <c r="N18" s="36">
        <v>37465197.790506795</v>
      </c>
      <c r="O18" s="36">
        <v>1560797.1784810978</v>
      </c>
      <c r="P18" s="54">
        <v>24.003886159613867</v>
      </c>
      <c r="Q18" s="36">
        <v>2.1839522499218733E-41</v>
      </c>
      <c r="R18" s="36">
        <v>34365319.941385418</v>
      </c>
      <c r="S18" s="36">
        <v>40565075.639628172</v>
      </c>
      <c r="T18" s="36">
        <v>34365319.941385418</v>
      </c>
      <c r="U18" s="36">
        <v>40565075.639628172</v>
      </c>
    </row>
    <row r="19" spans="1:21" x14ac:dyDescent="0.25">
      <c r="A19" s="3">
        <v>38108</v>
      </c>
      <c r="B19" s="44">
        <v>36196805.134825014</v>
      </c>
      <c r="C19" s="59">
        <v>164.1</v>
      </c>
      <c r="D19" s="59">
        <v>14.2</v>
      </c>
      <c r="E19" s="61">
        <v>1</v>
      </c>
      <c r="F19" s="62">
        <v>128.58816137146633</v>
      </c>
      <c r="G19" s="61">
        <v>31</v>
      </c>
      <c r="H19" s="45">
        <v>51966</v>
      </c>
      <c r="I19" s="61">
        <v>319.92</v>
      </c>
      <c r="J19" s="10">
        <f t="shared" si="0"/>
        <v>39900276.555205807</v>
      </c>
      <c r="K19" s="10"/>
      <c r="L19" s="14"/>
      <c r="M19" s="36" t="s">
        <v>3</v>
      </c>
      <c r="N19" s="36">
        <v>9612.4458128182578</v>
      </c>
      <c r="O19" s="36">
        <v>2350.7351363373718</v>
      </c>
      <c r="P19" s="54">
        <v>4.0891232977421677</v>
      </c>
      <c r="Q19" s="36">
        <v>9.2619175292429066E-5</v>
      </c>
      <c r="R19" s="36">
        <v>4943.6830300876209</v>
      </c>
      <c r="S19" s="36">
        <v>14281.208595548895</v>
      </c>
      <c r="T19" s="36">
        <v>4943.6830300876209</v>
      </c>
      <c r="U19" s="36">
        <v>14281.208595548895</v>
      </c>
    </row>
    <row r="20" spans="1:21" x14ac:dyDescent="0.25">
      <c r="A20" s="3">
        <v>38139</v>
      </c>
      <c r="B20" s="44">
        <v>40747866.532797858</v>
      </c>
      <c r="C20" s="59">
        <v>60.1</v>
      </c>
      <c r="D20" s="59">
        <v>29.2</v>
      </c>
      <c r="E20" s="61">
        <v>0</v>
      </c>
      <c r="F20" s="62">
        <v>128.85303193013166</v>
      </c>
      <c r="G20" s="61">
        <v>30</v>
      </c>
      <c r="H20" s="45">
        <v>52051</v>
      </c>
      <c r="I20" s="61">
        <v>352.08</v>
      </c>
      <c r="J20" s="10">
        <f t="shared" si="0"/>
        <v>43083322.612238169</v>
      </c>
      <c r="K20" s="10"/>
      <c r="L20" s="14"/>
      <c r="M20" s="36" t="s">
        <v>4</v>
      </c>
      <c r="N20" s="36">
        <v>172617.01467058199</v>
      </c>
      <c r="O20" s="36">
        <v>18841.140158891685</v>
      </c>
      <c r="P20" s="54">
        <v>9.161707477088056</v>
      </c>
      <c r="Q20" s="36">
        <v>1.325755736918947E-14</v>
      </c>
      <c r="R20" s="36">
        <v>135196.88485744569</v>
      </c>
      <c r="S20" s="36">
        <v>210037.14448371829</v>
      </c>
      <c r="T20" s="36">
        <v>135196.88485744569</v>
      </c>
      <c r="U20" s="36">
        <v>210037.14448371829</v>
      </c>
    </row>
    <row r="21" spans="1:21" ht="13.8" thickBot="1" x14ac:dyDescent="0.3">
      <c r="A21" s="3">
        <v>38169</v>
      </c>
      <c r="B21" s="44">
        <v>48619398.60393957</v>
      </c>
      <c r="C21" s="59">
        <v>7.7</v>
      </c>
      <c r="D21" s="59">
        <v>71.599999999999994</v>
      </c>
      <c r="E21" s="61">
        <v>0</v>
      </c>
      <c r="F21" s="62">
        <v>129.11844807878055</v>
      </c>
      <c r="G21" s="61">
        <v>31</v>
      </c>
      <c r="H21" s="45">
        <v>52156</v>
      </c>
      <c r="I21" s="61">
        <v>336.28800000000001</v>
      </c>
      <c r="J21" s="10">
        <f t="shared" si="0"/>
        <v>49898591.873679169</v>
      </c>
      <c r="K21" s="10"/>
      <c r="L21" s="14"/>
      <c r="M21" s="48" t="s">
        <v>26</v>
      </c>
      <c r="N21" s="48">
        <v>-1593485.2015067269</v>
      </c>
      <c r="O21" s="48">
        <v>963431.05545995443</v>
      </c>
      <c r="P21" s="55">
        <v>-1.6539691060155586</v>
      </c>
      <c r="Q21" s="48">
        <v>0.10154199807572573</v>
      </c>
      <c r="R21" s="48">
        <v>-3506942.3945049196</v>
      </c>
      <c r="S21" s="48">
        <v>319971.99149146583</v>
      </c>
      <c r="T21" s="48">
        <v>-3506942.3945049196</v>
      </c>
      <c r="U21" s="48">
        <v>319971.99149146583</v>
      </c>
    </row>
    <row r="22" spans="1:21" x14ac:dyDescent="0.25">
      <c r="A22" s="3">
        <v>38200</v>
      </c>
      <c r="B22" s="44">
        <v>47071878.829604134</v>
      </c>
      <c r="C22" s="59">
        <v>28.9</v>
      </c>
      <c r="D22" s="59">
        <v>40</v>
      </c>
      <c r="E22" s="61">
        <v>0</v>
      </c>
      <c r="F22" s="62">
        <v>129.38441094123903</v>
      </c>
      <c r="G22" s="61">
        <v>31</v>
      </c>
      <c r="H22" s="45">
        <v>52296</v>
      </c>
      <c r="I22" s="61">
        <v>336.28800000000001</v>
      </c>
      <c r="J22" s="10">
        <f t="shared" si="0"/>
        <v>44647678.061320521</v>
      </c>
      <c r="K22" s="10"/>
      <c r="L22" s="14"/>
    </row>
    <row r="23" spans="1:21" x14ac:dyDescent="0.25">
      <c r="A23" s="3">
        <v>38231</v>
      </c>
      <c r="B23" s="44">
        <v>43312053.643144004</v>
      </c>
      <c r="C23" s="59">
        <v>43.9</v>
      </c>
      <c r="D23" s="59">
        <v>31.2</v>
      </c>
      <c r="E23" s="61">
        <v>1</v>
      </c>
      <c r="F23" s="62">
        <v>129.65092164364802</v>
      </c>
      <c r="G23" s="61">
        <v>30</v>
      </c>
      <c r="H23" s="45">
        <v>52434</v>
      </c>
      <c r="I23" s="61">
        <v>336.24</v>
      </c>
      <c r="J23" s="10">
        <f t="shared" si="0"/>
        <v>41679349.817904949</v>
      </c>
      <c r="K23" s="10"/>
      <c r="L23" s="14"/>
    </row>
    <row r="24" spans="1:21" x14ac:dyDescent="0.25">
      <c r="A24" s="3">
        <v>38261</v>
      </c>
      <c r="B24" s="44">
        <v>38022363.1956397</v>
      </c>
      <c r="C24" s="59">
        <v>253.5</v>
      </c>
      <c r="D24" s="59">
        <v>0</v>
      </c>
      <c r="E24" s="61">
        <v>1</v>
      </c>
      <c r="F24" s="62">
        <v>129.91798131446814</v>
      </c>
      <c r="G24" s="61">
        <v>31</v>
      </c>
      <c r="H24" s="45">
        <v>52600</v>
      </c>
      <c r="I24" s="61">
        <v>319.92</v>
      </c>
      <c r="J24" s="10">
        <f t="shared" si="0"/>
        <v>38308467.602549501</v>
      </c>
      <c r="K24" s="10"/>
      <c r="L24" s="14"/>
    </row>
    <row r="25" spans="1:21" ht="13.8" thickBot="1" x14ac:dyDescent="0.3">
      <c r="A25" s="3">
        <v>38292</v>
      </c>
      <c r="B25" s="44">
        <v>38493628.60011474</v>
      </c>
      <c r="C25" s="59">
        <v>396</v>
      </c>
      <c r="D25" s="59">
        <v>0</v>
      </c>
      <c r="E25" s="61">
        <v>1</v>
      </c>
      <c r="F25" s="62">
        <v>130.18559108448443</v>
      </c>
      <c r="G25" s="61">
        <v>30</v>
      </c>
      <c r="H25" s="45">
        <v>52687</v>
      </c>
      <c r="I25" s="61">
        <v>352.08</v>
      </c>
      <c r="J25" s="10">
        <f t="shared" si="0"/>
        <v>39678241.130876102</v>
      </c>
      <c r="K25" s="10"/>
      <c r="L25" s="14"/>
      <c r="M25" s="48"/>
      <c r="N25" s="57"/>
      <c r="O25" s="48"/>
      <c r="P25" s="55"/>
      <c r="Q25" s="48"/>
      <c r="R25" s="48"/>
      <c r="S25" s="48"/>
      <c r="T25" s="48"/>
      <c r="U25" s="48"/>
    </row>
    <row r="26" spans="1:21" x14ac:dyDescent="0.25">
      <c r="A26" s="3">
        <v>38322</v>
      </c>
      <c r="B26" s="44">
        <v>47476677.223178424</v>
      </c>
      <c r="C26" s="59">
        <v>636.70000000000005</v>
      </c>
      <c r="D26" s="59">
        <v>0</v>
      </c>
      <c r="E26" s="61">
        <v>0</v>
      </c>
      <c r="F26" s="62">
        <v>130.45375208681136</v>
      </c>
      <c r="G26" s="61">
        <v>31</v>
      </c>
      <c r="H26" s="45">
        <v>52787</v>
      </c>
      <c r="I26" s="61">
        <v>336.28800000000001</v>
      </c>
      <c r="J26" s="10">
        <f t="shared" si="0"/>
        <v>43585442.039528176</v>
      </c>
      <c r="K26" s="10"/>
      <c r="L26" s="14"/>
    </row>
    <row r="27" spans="1:21" x14ac:dyDescent="0.25">
      <c r="A27" s="3">
        <v>38353</v>
      </c>
      <c r="B27" s="44">
        <v>46691245.888315164</v>
      </c>
      <c r="C27" s="59">
        <v>765.8</v>
      </c>
      <c r="D27" s="59">
        <v>0</v>
      </c>
      <c r="E27" s="61">
        <v>0</v>
      </c>
      <c r="F27" s="62">
        <v>130.74370215685079</v>
      </c>
      <c r="G27" s="61">
        <v>31</v>
      </c>
      <c r="H27" s="45">
        <v>52910</v>
      </c>
      <c r="I27" s="61">
        <v>319.92</v>
      </c>
      <c r="J27" s="10">
        <f t="shared" si="0"/>
        <v>44826408.793963015</v>
      </c>
      <c r="K27" s="10"/>
      <c r="L27" s="14"/>
    </row>
    <row r="28" spans="1:21" x14ac:dyDescent="0.25">
      <c r="A28" s="3">
        <v>38384</v>
      </c>
      <c r="B28" s="44">
        <v>41421727.825588062</v>
      </c>
      <c r="C28" s="59">
        <v>641.70000000000005</v>
      </c>
      <c r="D28" s="59">
        <v>0</v>
      </c>
      <c r="E28" s="61">
        <v>0</v>
      </c>
      <c r="F28" s="62">
        <v>131.0342966778299</v>
      </c>
      <c r="G28" s="61">
        <v>28</v>
      </c>
      <c r="H28" s="45">
        <v>53000</v>
      </c>
      <c r="I28" s="61">
        <v>319.87200000000001</v>
      </c>
      <c r="J28" s="10">
        <f t="shared" si="0"/>
        <v>43633504.268592268</v>
      </c>
      <c r="K28" s="10"/>
      <c r="L28" s="14"/>
    </row>
    <row r="29" spans="1:21" x14ac:dyDescent="0.25">
      <c r="A29" s="3">
        <v>38412</v>
      </c>
      <c r="B29" s="44">
        <v>40805161.923886023</v>
      </c>
      <c r="C29" s="59">
        <v>646.9</v>
      </c>
      <c r="D29" s="59">
        <v>0</v>
      </c>
      <c r="E29" s="61">
        <v>1</v>
      </c>
      <c r="F29" s="62">
        <v>131.32553708212293</v>
      </c>
      <c r="G29" s="61">
        <v>31</v>
      </c>
      <c r="H29" s="45">
        <v>53062</v>
      </c>
      <c r="I29" s="61">
        <v>351.91199999999998</v>
      </c>
      <c r="J29" s="10">
        <f t="shared" si="0"/>
        <v>42090003.785312198</v>
      </c>
      <c r="K29" s="10"/>
      <c r="L29" s="14"/>
    </row>
    <row r="30" spans="1:21" x14ac:dyDescent="0.25">
      <c r="A30" s="3">
        <v>38443</v>
      </c>
      <c r="B30" s="44">
        <v>35165396.538535096</v>
      </c>
      <c r="C30" s="59">
        <v>339</v>
      </c>
      <c r="D30" s="59">
        <v>0</v>
      </c>
      <c r="E30" s="61">
        <v>1</v>
      </c>
      <c r="F30" s="62">
        <v>131.61742480528775</v>
      </c>
      <c r="G30" s="61">
        <v>30</v>
      </c>
      <c r="H30" s="45">
        <v>53163</v>
      </c>
      <c r="I30" s="61">
        <v>336.24</v>
      </c>
      <c r="J30" s="10">
        <f t="shared" si="0"/>
        <v>39130331.719545461</v>
      </c>
      <c r="K30" s="10"/>
      <c r="L30" s="14"/>
    </row>
    <row r="31" spans="1:21" x14ac:dyDescent="0.25">
      <c r="A31" s="3">
        <v>38473</v>
      </c>
      <c r="B31" s="44">
        <v>36853618.722509086</v>
      </c>
      <c r="C31" s="59">
        <v>212.7</v>
      </c>
      <c r="D31" s="59">
        <v>0</v>
      </c>
      <c r="E31" s="61">
        <v>1</v>
      </c>
      <c r="F31" s="62">
        <v>131.90996128607298</v>
      </c>
      <c r="G31" s="61">
        <v>31</v>
      </c>
      <c r="H31" s="45">
        <v>53320</v>
      </c>
      <c r="I31" s="61">
        <v>336.28800000000001</v>
      </c>
      <c r="J31" s="10">
        <f t="shared" si="0"/>
        <v>37916279.813386515</v>
      </c>
      <c r="K31" s="10"/>
      <c r="L31" s="14"/>
    </row>
    <row r="32" spans="1:21" x14ac:dyDescent="0.25">
      <c r="A32" s="3">
        <v>38504</v>
      </c>
      <c r="B32" s="44">
        <v>56200447.466054693</v>
      </c>
      <c r="C32" s="59">
        <v>13.1</v>
      </c>
      <c r="D32" s="59">
        <v>119.6</v>
      </c>
      <c r="E32" s="61">
        <v>0</v>
      </c>
      <c r="F32" s="62">
        <v>132.20314796642501</v>
      </c>
      <c r="G32" s="61">
        <v>30</v>
      </c>
      <c r="H32" s="45">
        <v>53357</v>
      </c>
      <c r="I32" s="61">
        <v>352.08</v>
      </c>
      <c r="J32" s="10">
        <f t="shared" si="0"/>
        <v>58236115.785256311</v>
      </c>
      <c r="K32" s="10"/>
      <c r="L32" s="14"/>
    </row>
    <row r="33" spans="1:12" x14ac:dyDescent="0.25">
      <c r="A33" s="3">
        <v>38534</v>
      </c>
      <c r="B33" s="44">
        <v>63525600.009562053</v>
      </c>
      <c r="C33" s="59">
        <v>1.1000000000000001</v>
      </c>
      <c r="D33" s="59">
        <v>144.69999999999999</v>
      </c>
      <c r="E33" s="61">
        <v>0</v>
      </c>
      <c r="F33" s="62">
        <v>132.49698629149512</v>
      </c>
      <c r="G33" s="61">
        <v>31</v>
      </c>
      <c r="H33" s="45">
        <v>53560</v>
      </c>
      <c r="I33" s="61">
        <v>319.92</v>
      </c>
      <c r="J33" s="10">
        <f t="shared" si="0"/>
        <v>62453453.503734112</v>
      </c>
      <c r="K33" s="10"/>
      <c r="L33" s="14"/>
    </row>
    <row r="34" spans="1:12" x14ac:dyDescent="0.25">
      <c r="A34" s="3">
        <v>38565</v>
      </c>
      <c r="B34" s="44">
        <v>58470687.301587299</v>
      </c>
      <c r="C34" s="59">
        <v>3.8</v>
      </c>
      <c r="D34" s="59">
        <v>102.5</v>
      </c>
      <c r="E34" s="61">
        <v>0</v>
      </c>
      <c r="F34" s="62">
        <v>132.79147770964664</v>
      </c>
      <c r="G34" s="61">
        <v>31</v>
      </c>
      <c r="H34" s="45">
        <v>53553</v>
      </c>
      <c r="I34" s="61">
        <v>351.91199999999998</v>
      </c>
      <c r="J34" s="10">
        <f t="shared" si="0"/>
        <v>55194969.088330157</v>
      </c>
      <c r="K34" s="10"/>
      <c r="L34" s="14"/>
    </row>
    <row r="35" spans="1:12" x14ac:dyDescent="0.25">
      <c r="A35" s="3">
        <v>38596</v>
      </c>
      <c r="B35" s="44">
        <v>45505383.027347483</v>
      </c>
      <c r="C35" s="59">
        <v>32.799999999999997</v>
      </c>
      <c r="D35" s="59">
        <v>25.6</v>
      </c>
      <c r="E35" s="61">
        <v>1</v>
      </c>
      <c r="F35" s="62">
        <v>133.08662367246211</v>
      </c>
      <c r="G35" s="61">
        <v>30</v>
      </c>
      <c r="H35" s="45">
        <v>53669</v>
      </c>
      <c r="I35" s="61">
        <v>336.24</v>
      </c>
      <c r="J35" s="10">
        <f t="shared" si="0"/>
        <v>40605996.387227409</v>
      </c>
      <c r="K35" s="10"/>
      <c r="L35" s="14"/>
    </row>
    <row r="36" spans="1:12" x14ac:dyDescent="0.25">
      <c r="A36" s="3">
        <v>38626</v>
      </c>
      <c r="B36" s="44">
        <v>38036890.648307517</v>
      </c>
      <c r="C36" s="59">
        <v>234.2</v>
      </c>
      <c r="D36" s="59">
        <v>7.6</v>
      </c>
      <c r="E36" s="61">
        <v>1</v>
      </c>
      <c r="F36" s="62">
        <v>133.38242563475035</v>
      </c>
      <c r="G36" s="61">
        <v>31</v>
      </c>
      <c r="H36" s="45">
        <v>53817</v>
      </c>
      <c r="I36" s="61">
        <v>319.92</v>
      </c>
      <c r="J36" s="10">
        <f t="shared" si="0"/>
        <v>39434836.709858529</v>
      </c>
      <c r="K36" s="10"/>
      <c r="L36" s="14"/>
    </row>
    <row r="37" spans="1:12" x14ac:dyDescent="0.25">
      <c r="A37" s="3">
        <v>38657</v>
      </c>
      <c r="B37" s="44">
        <v>39198767.316886589</v>
      </c>
      <c r="C37" s="59">
        <v>396.3</v>
      </c>
      <c r="D37" s="59">
        <v>0</v>
      </c>
      <c r="E37" s="61">
        <v>1</v>
      </c>
      <c r="F37" s="62">
        <v>133.67888505455369</v>
      </c>
      <c r="G37" s="61">
        <v>30</v>
      </c>
      <c r="H37" s="45">
        <v>53923</v>
      </c>
      <c r="I37" s="61">
        <v>352.08</v>
      </c>
      <c r="J37" s="10">
        <f t="shared" si="0"/>
        <v>39681124.864619948</v>
      </c>
      <c r="K37" s="10"/>
      <c r="L37" s="14"/>
    </row>
    <row r="38" spans="1:12" x14ac:dyDescent="0.25">
      <c r="A38" s="3">
        <v>38687</v>
      </c>
      <c r="B38" s="44">
        <v>48107176.343469106</v>
      </c>
      <c r="C38" s="59">
        <v>688.8</v>
      </c>
      <c r="D38" s="59">
        <v>0</v>
      </c>
      <c r="E38" s="61">
        <v>0</v>
      </c>
      <c r="F38" s="62">
        <v>133.97600339315525</v>
      </c>
      <c r="G38" s="61">
        <v>31</v>
      </c>
      <c r="H38" s="45">
        <v>53983</v>
      </c>
      <c r="I38" s="61">
        <v>319.92</v>
      </c>
      <c r="J38" s="10">
        <f t="shared" si="0"/>
        <v>44086250.466376007</v>
      </c>
      <c r="K38" s="10"/>
      <c r="L38" s="14"/>
    </row>
    <row r="39" spans="1:12" x14ac:dyDescent="0.25">
      <c r="A39" s="3">
        <v>38718</v>
      </c>
      <c r="B39" s="38">
        <v>43486315.920826167</v>
      </c>
      <c r="C39" s="59">
        <v>554.70000000000005</v>
      </c>
      <c r="D39" s="59">
        <v>0</v>
      </c>
      <c r="E39" s="61">
        <v>0</v>
      </c>
      <c r="F39" s="62">
        <v>134.25197202423305</v>
      </c>
      <c r="G39" s="61">
        <v>31</v>
      </c>
      <c r="H39" s="45">
        <v>54120</v>
      </c>
      <c r="I39" s="61">
        <v>336.28800000000001</v>
      </c>
      <c r="J39" s="10">
        <f t="shared" si="0"/>
        <v>42797221.482877083</v>
      </c>
      <c r="K39" s="10"/>
      <c r="L39" s="14"/>
    </row>
    <row r="40" spans="1:12" x14ac:dyDescent="0.25">
      <c r="A40" s="3">
        <v>38749</v>
      </c>
      <c r="B40" s="38">
        <v>39596332.520558424</v>
      </c>
      <c r="C40" s="59">
        <v>602.79999999999995</v>
      </c>
      <c r="D40" s="59">
        <v>0</v>
      </c>
      <c r="E40" s="61">
        <v>0</v>
      </c>
      <c r="F40" s="62">
        <v>134.52850910550649</v>
      </c>
      <c r="G40" s="61">
        <v>28</v>
      </c>
      <c r="H40" s="45">
        <v>54226</v>
      </c>
      <c r="I40" s="61">
        <v>319.87200000000001</v>
      </c>
      <c r="J40" s="10">
        <f t="shared" si="0"/>
        <v>43259580.126473643</v>
      </c>
      <c r="K40" s="10"/>
      <c r="L40" s="14"/>
    </row>
    <row r="41" spans="1:12" x14ac:dyDescent="0.25">
      <c r="A41" s="3">
        <v>38777</v>
      </c>
      <c r="B41" s="38">
        <v>40630720.787913553</v>
      </c>
      <c r="C41" s="59">
        <v>530.4</v>
      </c>
      <c r="D41" s="59">
        <v>0</v>
      </c>
      <c r="E41" s="61">
        <v>1</v>
      </c>
      <c r="F41" s="62">
        <v>134.80561580788986</v>
      </c>
      <c r="G41" s="61">
        <v>31</v>
      </c>
      <c r="H41" s="45">
        <v>54292</v>
      </c>
      <c r="I41" s="61">
        <v>368.28</v>
      </c>
      <c r="J41" s="10">
        <f t="shared" si="0"/>
        <v>40970153.848118871</v>
      </c>
      <c r="K41" s="10"/>
      <c r="L41" s="14"/>
    </row>
    <row r="42" spans="1:12" x14ac:dyDescent="0.25">
      <c r="A42" s="3">
        <v>38808</v>
      </c>
      <c r="B42" s="38">
        <v>34886527.863836296</v>
      </c>
      <c r="C42" s="59">
        <v>314.60000000000002</v>
      </c>
      <c r="D42" s="59">
        <v>0</v>
      </c>
      <c r="E42" s="61">
        <v>1</v>
      </c>
      <c r="F42" s="62">
        <v>135.08329330470943</v>
      </c>
      <c r="G42" s="61">
        <v>30</v>
      </c>
      <c r="H42" s="45">
        <v>54319</v>
      </c>
      <c r="I42" s="61">
        <v>303.83999999999997</v>
      </c>
      <c r="J42" s="10">
        <f t="shared" si="0"/>
        <v>38895788.041712694</v>
      </c>
      <c r="K42" s="10"/>
      <c r="L42" s="14"/>
    </row>
    <row r="43" spans="1:12" x14ac:dyDescent="0.25">
      <c r="A43" s="3">
        <v>38838</v>
      </c>
      <c r="B43" s="38">
        <v>37710949.841787331</v>
      </c>
      <c r="C43" s="59">
        <v>155.5</v>
      </c>
      <c r="D43" s="59">
        <v>22.4</v>
      </c>
      <c r="E43" s="61">
        <v>1</v>
      </c>
      <c r="F43" s="62">
        <v>135.36154277170829</v>
      </c>
      <c r="G43" s="61">
        <v>31</v>
      </c>
      <c r="H43" s="45">
        <v>54503</v>
      </c>
      <c r="I43" s="61">
        <v>351.91199999999998</v>
      </c>
      <c r="J43" s="10">
        <f t="shared" si="0"/>
        <v>41233069.041514345</v>
      </c>
      <c r="K43" s="10"/>
      <c r="L43" s="14"/>
    </row>
    <row r="44" spans="1:12" x14ac:dyDescent="0.25">
      <c r="A44" s="3">
        <v>38869</v>
      </c>
      <c r="B44" s="38">
        <v>47310688.12925496</v>
      </c>
      <c r="C44" s="59">
        <v>26.7</v>
      </c>
      <c r="D44" s="59">
        <v>43.2</v>
      </c>
      <c r="E44" s="61">
        <v>0</v>
      </c>
      <c r="F44" s="62">
        <v>135.64036538705133</v>
      </c>
      <c r="G44" s="61">
        <v>30</v>
      </c>
      <c r="H44" s="45">
        <v>54582</v>
      </c>
      <c r="I44" s="61">
        <v>352.08</v>
      </c>
      <c r="J44" s="10">
        <f t="shared" si="0"/>
        <v>45178905.12747819</v>
      </c>
      <c r="K44" s="10"/>
      <c r="L44" s="14"/>
    </row>
    <row r="45" spans="1:12" x14ac:dyDescent="0.25">
      <c r="A45" s="3">
        <v>38899</v>
      </c>
      <c r="B45" s="38">
        <v>62049187.371751845</v>
      </c>
      <c r="C45" s="59">
        <v>1.9</v>
      </c>
      <c r="D45" s="59">
        <v>136.1</v>
      </c>
      <c r="E45" s="61">
        <v>0</v>
      </c>
      <c r="F45" s="62">
        <v>135.9197623313303</v>
      </c>
      <c r="G45" s="61">
        <v>31</v>
      </c>
      <c r="H45" s="45">
        <v>54614</v>
      </c>
      <c r="I45" s="61">
        <v>319.92</v>
      </c>
      <c r="J45" s="10">
        <f t="shared" si="0"/>
        <v>60976637.134217352</v>
      </c>
      <c r="K45" s="10"/>
      <c r="L45" s="14"/>
    </row>
    <row r="46" spans="1:12" x14ac:dyDescent="0.25">
      <c r="A46" s="3">
        <v>38930</v>
      </c>
      <c r="B46" s="38">
        <v>52352728.22897689</v>
      </c>
      <c r="C46" s="59">
        <v>8.1</v>
      </c>
      <c r="D46" s="59">
        <v>70.099999999999994</v>
      </c>
      <c r="E46" s="61">
        <v>0</v>
      </c>
      <c r="F46" s="62">
        <v>136.19973478756879</v>
      </c>
      <c r="G46" s="61">
        <v>31</v>
      </c>
      <c r="H46" s="45">
        <v>54720</v>
      </c>
      <c r="I46" s="61">
        <v>351.91199999999998</v>
      </c>
      <c r="J46" s="10">
        <f t="shared" si="0"/>
        <v>49643511.329998419</v>
      </c>
      <c r="K46" s="10"/>
      <c r="L46" s="14"/>
    </row>
    <row r="47" spans="1:12" x14ac:dyDescent="0.25">
      <c r="A47" s="3">
        <v>38961</v>
      </c>
      <c r="B47" s="38">
        <v>38968951.951289676</v>
      </c>
      <c r="C47" s="59">
        <v>105.3</v>
      </c>
      <c r="D47" s="59">
        <v>4.0999999999999996</v>
      </c>
      <c r="E47" s="61">
        <v>1</v>
      </c>
      <c r="F47" s="62">
        <v>136.48028394122719</v>
      </c>
      <c r="G47" s="61">
        <v>30</v>
      </c>
      <c r="H47" s="45">
        <v>54771</v>
      </c>
      <c r="I47" s="61">
        <v>319.68</v>
      </c>
      <c r="J47" s="10">
        <f t="shared" si="0"/>
        <v>37591632.893239222</v>
      </c>
      <c r="K47" s="10"/>
      <c r="L47" s="14"/>
    </row>
    <row r="48" spans="1:12" x14ac:dyDescent="0.25">
      <c r="A48" s="3">
        <v>38991</v>
      </c>
      <c r="B48" s="38">
        <v>39248850.47463803</v>
      </c>
      <c r="C48" s="59">
        <v>304.10000000000002</v>
      </c>
      <c r="D48" s="59">
        <v>0</v>
      </c>
      <c r="E48" s="61">
        <v>1</v>
      </c>
      <c r="F48" s="62">
        <v>136.76141098020776</v>
      </c>
      <c r="G48" s="61">
        <v>31</v>
      </c>
      <c r="H48" s="45">
        <v>54867</v>
      </c>
      <c r="I48" s="61">
        <v>336.28800000000001</v>
      </c>
      <c r="J48" s="10">
        <f t="shared" si="0"/>
        <v>38794857.360678099</v>
      </c>
      <c r="K48" s="10"/>
      <c r="L48" s="14"/>
    </row>
    <row r="49" spans="1:12" x14ac:dyDescent="0.25">
      <c r="A49" s="3">
        <v>39022</v>
      </c>
      <c r="B49" s="38">
        <v>39935326.982452773</v>
      </c>
      <c r="C49" s="59">
        <v>393.1</v>
      </c>
      <c r="D49" s="59">
        <v>0</v>
      </c>
      <c r="E49" s="61">
        <v>1</v>
      </c>
      <c r="F49" s="62">
        <v>137.04311709485967</v>
      </c>
      <c r="G49" s="61">
        <v>30</v>
      </c>
      <c r="H49" s="45">
        <v>54921</v>
      </c>
      <c r="I49" s="61">
        <v>352.08</v>
      </c>
      <c r="J49" s="10">
        <f t="shared" si="0"/>
        <v>39650365.038018927</v>
      </c>
      <c r="K49" s="10"/>
      <c r="L49" s="14"/>
    </row>
    <row r="50" spans="1:12" x14ac:dyDescent="0.25">
      <c r="A50" s="3">
        <v>39052</v>
      </c>
      <c r="B50" s="38">
        <v>45212711.794035867</v>
      </c>
      <c r="C50" s="59">
        <v>508.1</v>
      </c>
      <c r="D50" s="59">
        <v>0</v>
      </c>
      <c r="E50" s="61">
        <v>0</v>
      </c>
      <c r="F50" s="62">
        <v>137.32540347798411</v>
      </c>
      <c r="G50" s="61">
        <v>31</v>
      </c>
      <c r="H50" s="45">
        <v>55016</v>
      </c>
      <c r="I50" s="61">
        <v>304.29599999999999</v>
      </c>
      <c r="J50" s="10">
        <f t="shared" si="0"/>
        <v>42349281.507999748</v>
      </c>
      <c r="K50" s="10"/>
      <c r="L50" s="14"/>
    </row>
    <row r="51" spans="1:12" x14ac:dyDescent="0.25">
      <c r="A51" s="3">
        <v>39083</v>
      </c>
      <c r="B51" s="38">
        <v>43000891.916770548</v>
      </c>
      <c r="C51" s="59">
        <v>665.6</v>
      </c>
      <c r="D51" s="59">
        <v>0</v>
      </c>
      <c r="E51" s="61">
        <v>0</v>
      </c>
      <c r="F51" s="62">
        <v>137.58587596073079</v>
      </c>
      <c r="G51" s="61">
        <v>31</v>
      </c>
      <c r="H51" s="45">
        <v>55075</v>
      </c>
      <c r="I51" s="61">
        <v>351.91199999999998</v>
      </c>
      <c r="J51" s="10">
        <f t="shared" si="0"/>
        <v>43863241.723518625</v>
      </c>
      <c r="K51" s="10"/>
      <c r="L51" s="14"/>
    </row>
    <row r="52" spans="1:12" x14ac:dyDescent="0.25">
      <c r="A52" s="3">
        <v>39114</v>
      </c>
      <c r="B52" s="38">
        <v>43691512.618659511</v>
      </c>
      <c r="C52" s="59">
        <v>761.8</v>
      </c>
      <c r="D52" s="59">
        <v>0</v>
      </c>
      <c r="E52" s="61">
        <v>0</v>
      </c>
      <c r="F52" s="62">
        <v>137.84684249565245</v>
      </c>
      <c r="G52" s="61">
        <v>28</v>
      </c>
      <c r="H52" s="45">
        <v>55142</v>
      </c>
      <c r="I52" s="61">
        <v>319.87200000000001</v>
      </c>
      <c r="J52" s="10">
        <f t="shared" si="0"/>
        <v>44787959.010711744</v>
      </c>
      <c r="K52" s="10"/>
      <c r="L52" s="14"/>
    </row>
    <row r="53" spans="1:12" x14ac:dyDescent="0.25">
      <c r="A53" s="3">
        <v>39142</v>
      </c>
      <c r="B53" s="38">
        <v>41759123.722312786</v>
      </c>
      <c r="C53" s="59">
        <v>565.20000000000005</v>
      </c>
      <c r="D53" s="59">
        <v>0</v>
      </c>
      <c r="E53" s="61">
        <v>1</v>
      </c>
      <c r="F53" s="62">
        <v>138.10830401984444</v>
      </c>
      <c r="G53" s="61">
        <v>31</v>
      </c>
      <c r="H53" s="45">
        <v>55179</v>
      </c>
      <c r="I53" s="61">
        <v>351.91199999999998</v>
      </c>
      <c r="J53" s="10">
        <f t="shared" si="0"/>
        <v>41304666.962404951</v>
      </c>
      <c r="K53" s="10"/>
      <c r="L53" s="14"/>
    </row>
    <row r="54" spans="1:12" x14ac:dyDescent="0.25">
      <c r="A54" s="3">
        <v>39173</v>
      </c>
      <c r="B54" s="38">
        <v>37329473.142199636</v>
      </c>
      <c r="C54" s="59">
        <v>374.2</v>
      </c>
      <c r="D54" s="59">
        <v>0</v>
      </c>
      <c r="E54" s="61">
        <v>1</v>
      </c>
      <c r="F54" s="62">
        <v>138.37026147217955</v>
      </c>
      <c r="G54" s="61">
        <v>30</v>
      </c>
      <c r="H54" s="45">
        <v>55235</v>
      </c>
      <c r="I54" s="61">
        <v>319.68</v>
      </c>
      <c r="J54" s="10">
        <f t="shared" si="0"/>
        <v>39468689.812156662</v>
      </c>
      <c r="K54" s="10"/>
      <c r="L54" s="14"/>
    </row>
    <row r="55" spans="1:12" x14ac:dyDescent="0.25">
      <c r="A55" s="3">
        <v>39203</v>
      </c>
      <c r="B55" s="38">
        <v>39372691.283919841</v>
      </c>
      <c r="C55" s="59">
        <v>138.4</v>
      </c>
      <c r="D55" s="59">
        <v>23.3</v>
      </c>
      <c r="E55" s="61">
        <v>1</v>
      </c>
      <c r="F55" s="62">
        <v>138.63271579331135</v>
      </c>
      <c r="G55" s="61">
        <v>31</v>
      </c>
      <c r="H55" s="45">
        <v>55254</v>
      </c>
      <c r="I55" s="61">
        <v>351.91199999999998</v>
      </c>
      <c r="J55" s="10">
        <f t="shared" si="0"/>
        <v>41224051.531318679</v>
      </c>
      <c r="K55" s="10"/>
      <c r="L55" s="14"/>
    </row>
    <row r="56" spans="1:12" x14ac:dyDescent="0.25">
      <c r="A56" s="3">
        <v>39234</v>
      </c>
      <c r="B56" s="38">
        <v>51017213.126857802</v>
      </c>
      <c r="C56" s="59">
        <v>19.2</v>
      </c>
      <c r="D56" s="59">
        <v>74.2</v>
      </c>
      <c r="E56" s="61">
        <v>0</v>
      </c>
      <c r="F56" s="62">
        <v>138.89566792567766</v>
      </c>
      <c r="G56" s="61">
        <v>30</v>
      </c>
      <c r="H56" s="45">
        <v>55380</v>
      </c>
      <c r="I56" s="61">
        <v>336.24</v>
      </c>
      <c r="J56" s="10">
        <f t="shared" si="0"/>
        <v>50457939.238670088</v>
      </c>
      <c r="K56" s="10"/>
      <c r="L56" s="14"/>
    </row>
    <row r="57" spans="1:12" x14ac:dyDescent="0.25">
      <c r="A57" s="3">
        <v>39264</v>
      </c>
      <c r="B57" s="38">
        <v>53491300.958864711</v>
      </c>
      <c r="C57" s="59">
        <v>9.1999999999999993</v>
      </c>
      <c r="D57" s="59">
        <v>82</v>
      </c>
      <c r="E57" s="61">
        <v>0</v>
      </c>
      <c r="F57" s="62">
        <v>139.1591188135038</v>
      </c>
      <c r="G57" s="61">
        <v>31</v>
      </c>
      <c r="H57" s="45">
        <v>55403</v>
      </c>
      <c r="I57" s="61">
        <v>336.28800000000001</v>
      </c>
      <c r="J57" s="10">
        <f t="shared" si="0"/>
        <v>51708227.494972445</v>
      </c>
      <c r="K57" s="10"/>
      <c r="L57" s="14"/>
    </row>
    <row r="58" spans="1:12" x14ac:dyDescent="0.25">
      <c r="A58" s="3">
        <v>39295</v>
      </c>
      <c r="B58" s="38">
        <v>57002883.900661618</v>
      </c>
      <c r="C58" s="59">
        <v>8.4</v>
      </c>
      <c r="D58" s="59">
        <v>106</v>
      </c>
      <c r="E58" s="61">
        <v>0</v>
      </c>
      <c r="F58" s="62">
        <v>139.42306940280611</v>
      </c>
      <c r="G58" s="61">
        <v>31</v>
      </c>
      <c r="H58" s="45">
        <v>55507</v>
      </c>
      <c r="I58" s="61">
        <v>351.91199999999998</v>
      </c>
      <c r="J58" s="10">
        <f t="shared" si="0"/>
        <v>55843345.89041616</v>
      </c>
      <c r="K58" s="10"/>
      <c r="L58" s="14"/>
    </row>
    <row r="59" spans="1:12" x14ac:dyDescent="0.25">
      <c r="A59" s="3">
        <v>39326</v>
      </c>
      <c r="B59" s="38">
        <v>43322407.287371755</v>
      </c>
      <c r="C59" s="59">
        <v>55.2</v>
      </c>
      <c r="D59" s="59">
        <v>37.200000000000003</v>
      </c>
      <c r="E59" s="61">
        <v>1</v>
      </c>
      <c r="F59" s="62">
        <v>139.68752064139528</v>
      </c>
      <c r="G59" s="61">
        <v>30</v>
      </c>
      <c r="H59" s="45">
        <v>55577</v>
      </c>
      <c r="I59" s="61">
        <v>303.83999999999997</v>
      </c>
      <c r="J59" s="10">
        <f t="shared" si="0"/>
        <v>42823672.543613292</v>
      </c>
      <c r="K59" s="10"/>
      <c r="L59" s="14"/>
    </row>
    <row r="60" spans="1:12" x14ac:dyDescent="0.25">
      <c r="A60" s="3">
        <v>39356</v>
      </c>
      <c r="B60" s="38">
        <v>39989579.959727682</v>
      </c>
      <c r="C60" s="59">
        <v>157.80000000000001</v>
      </c>
      <c r="D60" s="59">
        <v>13</v>
      </c>
      <c r="E60" s="61">
        <v>1</v>
      </c>
      <c r="F60" s="62">
        <v>139.95247347887977</v>
      </c>
      <c r="G60" s="61">
        <v>31</v>
      </c>
      <c r="H60" s="45">
        <v>55613</v>
      </c>
      <c r="I60" s="61">
        <v>351.91199999999998</v>
      </c>
      <c r="J60" s="10">
        <f t="shared" si="0"/>
        <v>39632577.728980355</v>
      </c>
      <c r="K60" s="10"/>
      <c r="L60" s="14"/>
    </row>
    <row r="61" spans="1:12" x14ac:dyDescent="0.25">
      <c r="A61" s="3">
        <v>39387</v>
      </c>
      <c r="B61" s="38">
        <v>40517809.339342222</v>
      </c>
      <c r="C61" s="59">
        <v>467.5</v>
      </c>
      <c r="D61" s="59">
        <v>0</v>
      </c>
      <c r="E61" s="61">
        <v>1</v>
      </c>
      <c r="F61" s="62">
        <v>140.21792886666915</v>
      </c>
      <c r="G61" s="61">
        <v>30</v>
      </c>
      <c r="H61" s="45">
        <v>55765</v>
      </c>
      <c r="I61" s="61">
        <v>352.08</v>
      </c>
      <c r="J61" s="10">
        <f t="shared" si="0"/>
        <v>40365531.006492607</v>
      </c>
      <c r="K61" s="10"/>
      <c r="L61" s="14"/>
    </row>
    <row r="62" spans="1:12" x14ac:dyDescent="0.25">
      <c r="A62" s="3">
        <v>39417</v>
      </c>
      <c r="B62" s="38">
        <v>28788230.204238184</v>
      </c>
      <c r="C62" s="59">
        <v>641</v>
      </c>
      <c r="D62" s="59">
        <v>0</v>
      </c>
      <c r="E62" s="61">
        <v>0</v>
      </c>
      <c r="F62" s="62">
        <v>140.48388775797773</v>
      </c>
      <c r="G62" s="61">
        <v>31</v>
      </c>
      <c r="H62" s="45">
        <v>55815</v>
      </c>
      <c r="I62" s="61">
        <v>304.29599999999999</v>
      </c>
      <c r="J62" s="10">
        <f t="shared" si="0"/>
        <v>43626775.556523301</v>
      </c>
      <c r="K62" s="10"/>
      <c r="L62" s="14"/>
    </row>
    <row r="63" spans="1:12" x14ac:dyDescent="0.25">
      <c r="A63" s="3">
        <v>39448</v>
      </c>
      <c r="B63" s="45">
        <v>45047723.779844671</v>
      </c>
      <c r="C63" s="59">
        <v>632.70000000000005</v>
      </c>
      <c r="D63" s="59">
        <v>0</v>
      </c>
      <c r="E63" s="61">
        <v>0</v>
      </c>
      <c r="F63" s="62">
        <v>140.42521823206457</v>
      </c>
      <c r="G63" s="61">
        <v>31</v>
      </c>
      <c r="H63" s="45">
        <v>55914</v>
      </c>
      <c r="I63" s="61">
        <v>352</v>
      </c>
      <c r="J63" s="10">
        <f t="shared" si="0"/>
        <v>43546992.256276906</v>
      </c>
    </row>
    <row r="64" spans="1:12" x14ac:dyDescent="0.25">
      <c r="A64" s="3">
        <v>39479</v>
      </c>
      <c r="B64" s="45">
        <v>43398528.756352484</v>
      </c>
      <c r="C64" s="59">
        <v>678.8</v>
      </c>
      <c r="D64" s="59">
        <v>0</v>
      </c>
      <c r="E64" s="61">
        <v>0</v>
      </c>
      <c r="F64" s="62">
        <v>140.36657320798807</v>
      </c>
      <c r="G64" s="61">
        <v>29</v>
      </c>
      <c r="H64" s="45">
        <v>55994</v>
      </c>
      <c r="I64" s="61">
        <v>320</v>
      </c>
      <c r="J64" s="10">
        <f t="shared" si="0"/>
        <v>43990126.00824783</v>
      </c>
    </row>
    <row r="65" spans="1:33" x14ac:dyDescent="0.25">
      <c r="A65" s="3">
        <v>39508</v>
      </c>
      <c r="B65" s="45">
        <v>41982818.812925503</v>
      </c>
      <c r="C65" s="59">
        <v>621.79999999999995</v>
      </c>
      <c r="D65" s="59">
        <v>0</v>
      </c>
      <c r="E65" s="61">
        <v>1</v>
      </c>
      <c r="F65" s="62">
        <v>140.30795267551565</v>
      </c>
      <c r="G65" s="61">
        <v>31</v>
      </c>
      <c r="H65" s="45">
        <v>56076</v>
      </c>
      <c r="I65" s="61">
        <v>304</v>
      </c>
      <c r="J65" s="10">
        <f t="shared" si="0"/>
        <v>41848731.395410463</v>
      </c>
    </row>
    <row r="66" spans="1:33" x14ac:dyDescent="0.25">
      <c r="A66" s="3">
        <v>39539</v>
      </c>
      <c r="B66" s="45">
        <v>35956715.322657973</v>
      </c>
      <c r="C66" s="59">
        <v>290.60000000000002</v>
      </c>
      <c r="D66" s="59">
        <v>0</v>
      </c>
      <c r="E66" s="61">
        <v>1</v>
      </c>
      <c r="F66" s="62">
        <v>140.24935662441902</v>
      </c>
      <c r="G66" s="61">
        <v>30</v>
      </c>
      <c r="H66" s="45">
        <v>56134</v>
      </c>
      <c r="I66" s="61">
        <v>352</v>
      </c>
      <c r="J66" s="10">
        <f t="shared" si="0"/>
        <v>38665089.342205055</v>
      </c>
    </row>
    <row r="67" spans="1:33" x14ac:dyDescent="0.25">
      <c r="A67" s="3">
        <v>39569</v>
      </c>
      <c r="B67" s="45">
        <v>36811364.224757887</v>
      </c>
      <c r="C67" s="59">
        <v>214.1</v>
      </c>
      <c r="D67" s="59">
        <v>0.3</v>
      </c>
      <c r="E67" s="61">
        <v>1</v>
      </c>
      <c r="F67" s="62">
        <v>140.19078504447415</v>
      </c>
      <c r="G67" s="61">
        <v>31</v>
      </c>
      <c r="H67" s="45">
        <v>56250</v>
      </c>
      <c r="I67" s="61">
        <v>336</v>
      </c>
      <c r="J67" s="10">
        <f t="shared" si="0"/>
        <v>37981522.341925628</v>
      </c>
    </row>
    <row r="68" spans="1:33" x14ac:dyDescent="0.25">
      <c r="A68" s="3">
        <v>39600</v>
      </c>
      <c r="B68" s="45">
        <v>46862478.483076036</v>
      </c>
      <c r="C68" s="59">
        <v>34.200000000000003</v>
      </c>
      <c r="D68" s="59">
        <v>55</v>
      </c>
      <c r="E68" s="61">
        <v>0</v>
      </c>
      <c r="F68" s="62">
        <v>140.13223792546131</v>
      </c>
      <c r="G68" s="61">
        <v>30</v>
      </c>
      <c r="H68" s="45">
        <v>56284</v>
      </c>
      <c r="I68" s="61">
        <v>336</v>
      </c>
      <c r="J68" s="10">
        <f t="shared" ref="J68:J122" si="1">$N$18+C68*$N$19+D68*$N$20+E68*$N$21+F68*$N$22+G68*$N$23+H68*$N$24+I68*$N$25</f>
        <v>47287879.244187191</v>
      </c>
    </row>
    <row r="69" spans="1:33" x14ac:dyDescent="0.25">
      <c r="A69" s="3">
        <v>39630</v>
      </c>
      <c r="B69" s="45">
        <v>57464251.35679356</v>
      </c>
      <c r="C69" s="59">
        <v>3.7</v>
      </c>
      <c r="D69" s="59">
        <v>87.7</v>
      </c>
      <c r="E69" s="61">
        <v>0</v>
      </c>
      <c r="F69" s="62">
        <v>140.07371525716499</v>
      </c>
      <c r="G69" s="61">
        <v>31</v>
      </c>
      <c r="H69" s="45">
        <v>56337</v>
      </c>
      <c r="I69" s="61">
        <v>352</v>
      </c>
      <c r="J69" s="10">
        <f t="shared" si="1"/>
        <v>52639276.026624262</v>
      </c>
    </row>
    <row r="70" spans="1:33" x14ac:dyDescent="0.25">
      <c r="A70" s="3">
        <v>39661</v>
      </c>
      <c r="B70" s="45">
        <v>49905793.671492957</v>
      </c>
      <c r="C70" s="59">
        <v>20.2</v>
      </c>
      <c r="D70" s="59">
        <v>45.2</v>
      </c>
      <c r="E70" s="61">
        <v>0</v>
      </c>
      <c r="F70" s="62">
        <v>140.01521702937399</v>
      </c>
      <c r="G70" s="61">
        <v>31</v>
      </c>
      <c r="H70" s="45">
        <v>56396</v>
      </c>
      <c r="I70" s="61">
        <v>320</v>
      </c>
      <c r="J70" s="10">
        <f t="shared" si="1"/>
        <v>45461658.259036034</v>
      </c>
    </row>
    <row r="71" spans="1:33" x14ac:dyDescent="0.25">
      <c r="A71" s="3">
        <v>39692</v>
      </c>
      <c r="B71" s="45">
        <v>42637047.732284978</v>
      </c>
      <c r="C71" s="59">
        <v>70.400000000000006</v>
      </c>
      <c r="D71" s="59">
        <v>20.3</v>
      </c>
      <c r="E71" s="61">
        <v>1</v>
      </c>
      <c r="F71" s="62">
        <v>139.95674323188132</v>
      </c>
      <c r="G71" s="61">
        <v>30</v>
      </c>
      <c r="H71" s="45">
        <v>56508</v>
      </c>
      <c r="I71" s="61">
        <v>336</v>
      </c>
      <c r="J71" s="10">
        <f t="shared" si="1"/>
        <v>40052554.172035284</v>
      </c>
    </row>
    <row r="72" spans="1:33" x14ac:dyDescent="0.25">
      <c r="A72" s="3">
        <v>39722</v>
      </c>
      <c r="B72" s="45">
        <v>39427095.637165599</v>
      </c>
      <c r="C72" s="59">
        <v>297.5</v>
      </c>
      <c r="D72" s="59">
        <v>0</v>
      </c>
      <c r="E72" s="61">
        <v>1</v>
      </c>
      <c r="F72" s="62">
        <v>139.89829385448431</v>
      </c>
      <c r="G72" s="61">
        <v>31</v>
      </c>
      <c r="H72" s="45">
        <v>56576</v>
      </c>
      <c r="I72" s="61">
        <v>352</v>
      </c>
      <c r="J72" s="10">
        <f t="shared" si="1"/>
        <v>38731415.2183135</v>
      </c>
    </row>
    <row r="73" spans="1:33" x14ac:dyDescent="0.25">
      <c r="A73" s="3">
        <v>39753</v>
      </c>
      <c r="B73" s="45">
        <v>41225126.483843133</v>
      </c>
      <c r="C73" s="59">
        <v>460.6</v>
      </c>
      <c r="D73" s="59">
        <v>0</v>
      </c>
      <c r="E73" s="61">
        <v>1</v>
      </c>
      <c r="F73" s="62">
        <v>139.83986888698453</v>
      </c>
      <c r="G73" s="61">
        <v>30</v>
      </c>
      <c r="H73" s="45">
        <v>56751</v>
      </c>
      <c r="I73" s="61">
        <v>304</v>
      </c>
      <c r="J73" s="10">
        <f t="shared" si="1"/>
        <v>40299205.130384155</v>
      </c>
    </row>
    <row r="74" spans="1:33" x14ac:dyDescent="0.25">
      <c r="A74" s="3">
        <v>39783</v>
      </c>
      <c r="B74" s="45">
        <v>48905862.556333303</v>
      </c>
      <c r="C74" s="59">
        <v>655.29999999999995</v>
      </c>
      <c r="D74" s="59">
        <v>0</v>
      </c>
      <c r="E74" s="61">
        <v>0</v>
      </c>
      <c r="F74" s="62">
        <v>139.78146831918784</v>
      </c>
      <c r="G74" s="61">
        <v>31</v>
      </c>
      <c r="H74" s="45">
        <v>56841</v>
      </c>
      <c r="I74" s="61">
        <v>336</v>
      </c>
      <c r="J74" s="10">
        <f t="shared" si="1"/>
        <v>43764233.531646602</v>
      </c>
    </row>
    <row r="75" spans="1:33" s="15" customFormat="1" x14ac:dyDescent="0.25">
      <c r="A75" s="3">
        <v>39814</v>
      </c>
      <c r="B75" s="45">
        <v>45047723.779844671</v>
      </c>
      <c r="C75" s="59">
        <v>712.8153846153848</v>
      </c>
      <c r="D75" s="59">
        <v>0</v>
      </c>
      <c r="E75" s="61">
        <v>0</v>
      </c>
      <c r="F75" s="62">
        <v>139.37911160687111</v>
      </c>
      <c r="G75" s="61">
        <v>31</v>
      </c>
      <c r="H75" s="45" t="e">
        <f t="shared" ref="H75:H80" si="2">H74+($H$81-$H$74)/7</f>
        <v>#REF!</v>
      </c>
      <c r="I75" s="61">
        <v>336</v>
      </c>
      <c r="J75" s="10" t="e">
        <f t="shared" si="1"/>
        <v>#REF!</v>
      </c>
      <c r="K75" s="46"/>
      <c r="L75" s="1"/>
      <c r="M75"/>
      <c r="N75"/>
      <c r="O75"/>
      <c r="P75"/>
      <c r="Q75"/>
      <c r="R75"/>
      <c r="S75"/>
      <c r="T75"/>
      <c r="U75"/>
      <c r="V75"/>
      <c r="W75"/>
      <c r="X75"/>
      <c r="Y75" s="11"/>
      <c r="Z75" s="11"/>
      <c r="AA75" s="11"/>
      <c r="AB75" s="11"/>
      <c r="AC75" s="11"/>
      <c r="AD75" s="11"/>
      <c r="AE75" s="11"/>
      <c r="AF75" s="11"/>
      <c r="AG75" s="11"/>
    </row>
    <row r="76" spans="1:33" x14ac:dyDescent="0.25">
      <c r="A76" s="3">
        <v>39845</v>
      </c>
      <c r="B76" s="45">
        <v>43398528.756352484</v>
      </c>
      <c r="C76" s="59">
        <v>627.4</v>
      </c>
      <c r="D76" s="59">
        <v>0</v>
      </c>
      <c r="E76" s="61">
        <v>0</v>
      </c>
      <c r="F76" s="62">
        <v>138.97791306613385</v>
      </c>
      <c r="G76" s="61">
        <v>28</v>
      </c>
      <c r="H76" s="45" t="e">
        <f t="shared" si="2"/>
        <v>#REF!</v>
      </c>
      <c r="I76" s="61">
        <v>304</v>
      </c>
      <c r="J76" s="10" t="e">
        <f t="shared" si="1"/>
        <v>#REF!</v>
      </c>
      <c r="K76" s="46"/>
    </row>
    <row r="77" spans="1:33" x14ac:dyDescent="0.25">
      <c r="A77" s="3">
        <v>39873</v>
      </c>
      <c r="B77" s="45">
        <v>41982818.812925503</v>
      </c>
      <c r="C77" s="59">
        <v>566.50769230769231</v>
      </c>
      <c r="D77" s="59">
        <v>0</v>
      </c>
      <c r="E77" s="61">
        <v>1</v>
      </c>
      <c r="F77" s="62">
        <v>138.57786936321438</v>
      </c>
      <c r="G77" s="61">
        <v>31</v>
      </c>
      <c r="H77" s="45" t="e">
        <f t="shared" si="2"/>
        <v>#REF!</v>
      </c>
      <c r="I77" s="61">
        <v>352</v>
      </c>
      <c r="J77" s="10" t="e">
        <f t="shared" si="1"/>
        <v>#REF!</v>
      </c>
      <c r="K77" s="46"/>
    </row>
    <row r="78" spans="1:33" x14ac:dyDescent="0.25">
      <c r="A78" s="3">
        <v>39904</v>
      </c>
      <c r="B78" s="45">
        <v>35956715.322657973</v>
      </c>
      <c r="C78" s="59">
        <v>341.76153846153852</v>
      </c>
      <c r="D78" s="59">
        <v>0.61538461538461542</v>
      </c>
      <c r="E78" s="61">
        <v>1</v>
      </c>
      <c r="F78" s="62">
        <v>138.17897717394706</v>
      </c>
      <c r="G78" s="61">
        <v>30</v>
      </c>
      <c r="H78" s="45" t="e">
        <f t="shared" si="2"/>
        <v>#REF!</v>
      </c>
      <c r="I78" s="61">
        <v>320</v>
      </c>
      <c r="J78" s="10" t="e">
        <f t="shared" si="1"/>
        <v>#REF!</v>
      </c>
      <c r="K78" s="46"/>
    </row>
    <row r="79" spans="1:33" x14ac:dyDescent="0.25">
      <c r="A79" s="3">
        <v>39934</v>
      </c>
      <c r="B79" s="45">
        <v>36811364.224757887</v>
      </c>
      <c r="C79" s="59">
        <v>178.33076923076925</v>
      </c>
      <c r="D79" s="59">
        <v>11.461538461538463</v>
      </c>
      <c r="E79" s="61">
        <v>1</v>
      </c>
      <c r="F79" s="62">
        <v>137.78123318373483</v>
      </c>
      <c r="G79" s="61">
        <v>31</v>
      </c>
      <c r="H79" s="45" t="e">
        <f t="shared" si="2"/>
        <v>#REF!</v>
      </c>
      <c r="I79" s="61">
        <v>320</v>
      </c>
      <c r="J79" s="10" t="e">
        <f t="shared" si="1"/>
        <v>#REF!</v>
      </c>
      <c r="K79" s="46"/>
    </row>
    <row r="80" spans="1:33" x14ac:dyDescent="0.25">
      <c r="A80" s="3">
        <v>39965</v>
      </c>
      <c r="B80" s="45">
        <v>46862478.483076036</v>
      </c>
      <c r="C80" s="59">
        <v>38</v>
      </c>
      <c r="D80" s="59">
        <v>61.2</v>
      </c>
      <c r="E80" s="61">
        <v>0</v>
      </c>
      <c r="F80" s="62">
        <v>137.38463408752156</v>
      </c>
      <c r="G80" s="61">
        <v>30</v>
      </c>
      <c r="H80" s="45" t="e">
        <f t="shared" si="2"/>
        <v>#REF!</v>
      </c>
      <c r="I80" s="61">
        <v>352</v>
      </c>
      <c r="J80" s="10" t="e">
        <f t="shared" si="1"/>
        <v>#REF!</v>
      </c>
      <c r="K80" s="46"/>
    </row>
    <row r="81" spans="1:33" x14ac:dyDescent="0.25">
      <c r="A81" s="3">
        <v>39995</v>
      </c>
      <c r="B81" s="45">
        <v>57464251.35679356</v>
      </c>
      <c r="C81" s="59">
        <v>6.9153846153846157</v>
      </c>
      <c r="D81" s="59">
        <v>96.953846153846143</v>
      </c>
      <c r="E81" s="61">
        <v>0</v>
      </c>
      <c r="F81" s="62">
        <v>136.98917658976464</v>
      </c>
      <c r="G81" s="61">
        <v>31</v>
      </c>
      <c r="H81" s="45" t="e">
        <f>'Rate Class Customer Model'!#REF!</f>
        <v>#REF!</v>
      </c>
      <c r="I81" s="61">
        <v>352</v>
      </c>
      <c r="J81" s="10" t="e">
        <f t="shared" si="1"/>
        <v>#REF!</v>
      </c>
      <c r="K81" s="46"/>
    </row>
    <row r="82" spans="1:33" x14ac:dyDescent="0.25">
      <c r="A82" s="3">
        <v>40026</v>
      </c>
      <c r="B82" s="45">
        <v>49905793.671492957</v>
      </c>
      <c r="C82" s="59">
        <v>10.86923076923077</v>
      </c>
      <c r="D82" s="59">
        <v>76.623076923076937</v>
      </c>
      <c r="E82" s="61">
        <v>0</v>
      </c>
      <c r="F82" s="62">
        <v>136.59485740440758</v>
      </c>
      <c r="G82" s="61">
        <v>31</v>
      </c>
      <c r="H82" s="45" t="e">
        <f t="shared" ref="H82:H91" si="3">H81+($H$92-$H$81)/11</f>
        <v>#REF!</v>
      </c>
      <c r="I82" s="61">
        <v>320</v>
      </c>
      <c r="J82" s="10" t="e">
        <f t="shared" si="1"/>
        <v>#REF!</v>
      </c>
      <c r="K82" s="46"/>
    </row>
    <row r="83" spans="1:33" x14ac:dyDescent="0.25">
      <c r="A83" s="3">
        <v>40057</v>
      </c>
      <c r="B83" s="45">
        <v>42637047.732284978</v>
      </c>
      <c r="C83" s="59">
        <v>70.815384615384602</v>
      </c>
      <c r="D83" s="59">
        <v>27.34615384615385</v>
      </c>
      <c r="E83" s="61">
        <v>1</v>
      </c>
      <c r="F83" s="62">
        <v>136.20167325485272</v>
      </c>
      <c r="G83" s="61">
        <v>30</v>
      </c>
      <c r="H83" s="45" t="e">
        <f t="shared" si="3"/>
        <v>#REF!</v>
      </c>
      <c r="I83" s="61">
        <v>336</v>
      </c>
      <c r="J83" s="10" t="e">
        <f t="shared" si="1"/>
        <v>#REF!</v>
      </c>
      <c r="K83" s="46"/>
    </row>
    <row r="84" spans="1:33" x14ac:dyDescent="0.25">
      <c r="A84" s="3">
        <v>40087</v>
      </c>
      <c r="B84" s="45">
        <v>39427095.637165599</v>
      </c>
      <c r="C84" s="59">
        <v>259.90769230769229</v>
      </c>
      <c r="D84" s="59">
        <v>2.5846153846153848</v>
      </c>
      <c r="E84" s="61">
        <v>1</v>
      </c>
      <c r="F84" s="62">
        <v>135.80962087393394</v>
      </c>
      <c r="G84" s="61">
        <v>31</v>
      </c>
      <c r="H84" s="45" t="e">
        <f t="shared" si="3"/>
        <v>#REF!</v>
      </c>
      <c r="I84" s="61">
        <v>336</v>
      </c>
      <c r="J84" s="10" t="e">
        <f t="shared" si="1"/>
        <v>#REF!</v>
      </c>
      <c r="K84" s="46"/>
    </row>
    <row r="85" spans="1:33" x14ac:dyDescent="0.25">
      <c r="A85" s="3">
        <v>40118</v>
      </c>
      <c r="B85" s="45">
        <v>41225126.483843133</v>
      </c>
      <c r="C85" s="59">
        <v>424.6153846153847</v>
      </c>
      <c r="D85" s="59">
        <v>0</v>
      </c>
      <c r="E85" s="61">
        <v>1</v>
      </c>
      <c r="F85" s="62">
        <v>135.41869700388958</v>
      </c>
      <c r="G85" s="61">
        <v>30</v>
      </c>
      <c r="H85" s="45" t="e">
        <f t="shared" si="3"/>
        <v>#REF!</v>
      </c>
      <c r="I85" s="61">
        <v>320</v>
      </c>
      <c r="J85" s="10" t="e">
        <f t="shared" si="1"/>
        <v>#REF!</v>
      </c>
      <c r="K85" s="46"/>
    </row>
    <row r="86" spans="1:33" s="32" customFormat="1" x14ac:dyDescent="0.25">
      <c r="A86" s="3">
        <v>40148</v>
      </c>
      <c r="B86" s="45">
        <v>48905862.556333303</v>
      </c>
      <c r="C86" s="59">
        <v>614.35384615384623</v>
      </c>
      <c r="D86" s="59">
        <v>0</v>
      </c>
      <c r="E86" s="61">
        <v>0</v>
      </c>
      <c r="F86" s="62">
        <v>135.02889839633545</v>
      </c>
      <c r="G86" s="61">
        <v>31</v>
      </c>
      <c r="H86" s="45" t="e">
        <f t="shared" si="3"/>
        <v>#REF!</v>
      </c>
      <c r="I86" s="61">
        <v>352</v>
      </c>
      <c r="J86" s="10" t="e">
        <f t="shared" si="1"/>
        <v>#REF!</v>
      </c>
      <c r="K86" s="46"/>
      <c r="L86" s="1"/>
      <c r="M86"/>
      <c r="N86"/>
      <c r="O86"/>
      <c r="P86"/>
      <c r="Q86"/>
      <c r="R86"/>
      <c r="S86"/>
      <c r="T86"/>
      <c r="U86"/>
      <c r="V86"/>
      <c r="W86"/>
      <c r="X86"/>
      <c r="Y86" s="28"/>
      <c r="Z86" s="28"/>
      <c r="AA86" s="28"/>
      <c r="AB86" s="28"/>
      <c r="AC86" s="28"/>
      <c r="AD86" s="28"/>
      <c r="AE86" s="28"/>
      <c r="AF86" s="28"/>
      <c r="AG86" s="28"/>
    </row>
    <row r="87" spans="1:33" x14ac:dyDescent="0.25">
      <c r="A87" s="3">
        <v>40179</v>
      </c>
      <c r="B87" s="44">
        <v>44617931.717536397</v>
      </c>
      <c r="C87" s="59">
        <v>719.94353846153865</v>
      </c>
      <c r="D87" s="59">
        <v>0</v>
      </c>
      <c r="E87" s="61">
        <v>0</v>
      </c>
      <c r="F87" s="62">
        <v>135.32901731143812</v>
      </c>
      <c r="G87" s="61">
        <v>31</v>
      </c>
      <c r="H87" s="45" t="e">
        <f t="shared" si="3"/>
        <v>#REF!</v>
      </c>
      <c r="I87" s="61">
        <v>320</v>
      </c>
      <c r="J87" s="10" t="e">
        <f t="shared" si="1"/>
        <v>#REF!</v>
      </c>
      <c r="K87" s="46"/>
      <c r="Y87" s="11"/>
      <c r="Z87" s="11"/>
      <c r="AA87" s="11"/>
    </row>
    <row r="88" spans="1:33" x14ac:dyDescent="0.25">
      <c r="A88" s="3">
        <v>40210</v>
      </c>
      <c r="B88" s="44">
        <v>44641686.424937896</v>
      </c>
      <c r="C88" s="59">
        <v>633.67399999999998</v>
      </c>
      <c r="D88" s="59">
        <v>0</v>
      </c>
      <c r="E88" s="61">
        <v>0</v>
      </c>
      <c r="F88" s="62">
        <v>135.62980327903304</v>
      </c>
      <c r="G88" s="61">
        <v>28</v>
      </c>
      <c r="H88" s="45" t="e">
        <f t="shared" si="3"/>
        <v>#REF!</v>
      </c>
      <c r="I88" s="61">
        <v>304</v>
      </c>
      <c r="J88" s="10" t="e">
        <f t="shared" si="1"/>
        <v>#REF!</v>
      </c>
      <c r="K88" s="46"/>
    </row>
    <row r="89" spans="1:33" x14ac:dyDescent="0.25">
      <c r="A89" s="3">
        <v>40238</v>
      </c>
      <c r="B89" s="44">
        <v>44665441.132339403</v>
      </c>
      <c r="C89" s="59">
        <v>572.17276923076929</v>
      </c>
      <c r="D89" s="59">
        <v>0</v>
      </c>
      <c r="E89" s="61">
        <v>1</v>
      </c>
      <c r="F89" s="62">
        <v>135.9312577817293</v>
      </c>
      <c r="G89" s="61">
        <v>31</v>
      </c>
      <c r="H89" s="45" t="e">
        <f t="shared" si="3"/>
        <v>#REF!</v>
      </c>
      <c r="I89" s="61">
        <v>368</v>
      </c>
      <c r="J89" s="10" t="e">
        <f t="shared" si="1"/>
        <v>#REF!</v>
      </c>
      <c r="K89" s="46"/>
    </row>
    <row r="90" spans="1:33" x14ac:dyDescent="0.25">
      <c r="A90" s="3">
        <v>40269</v>
      </c>
      <c r="B90" s="44">
        <v>44689195.839740902</v>
      </c>
      <c r="C90" s="59">
        <v>345.17915384615389</v>
      </c>
      <c r="D90" s="59">
        <v>0.6215384615384616</v>
      </c>
      <c r="E90" s="61">
        <v>1</v>
      </c>
      <c r="F90" s="62">
        <v>136.23338230543126</v>
      </c>
      <c r="G90" s="61">
        <v>30</v>
      </c>
      <c r="H90" s="45" t="e">
        <f t="shared" si="3"/>
        <v>#REF!</v>
      </c>
      <c r="I90" s="61">
        <v>320</v>
      </c>
      <c r="J90" s="10" t="e">
        <f t="shared" si="1"/>
        <v>#REF!</v>
      </c>
      <c r="K90" s="46"/>
    </row>
    <row r="91" spans="1:33" x14ac:dyDescent="0.25">
      <c r="A91" s="3">
        <v>40299</v>
      </c>
      <c r="B91" s="44">
        <v>44712950.547142401</v>
      </c>
      <c r="C91" s="59">
        <v>180.11407692307694</v>
      </c>
      <c r="D91" s="59">
        <v>11.576153846153849</v>
      </c>
      <c r="E91" s="61">
        <v>1</v>
      </c>
      <c r="F91" s="62">
        <v>136.53617833934589</v>
      </c>
      <c r="G91" s="61">
        <v>31</v>
      </c>
      <c r="H91" s="45" t="e">
        <f t="shared" si="3"/>
        <v>#REF!</v>
      </c>
      <c r="I91" s="61">
        <v>320</v>
      </c>
      <c r="J91" s="10" t="e">
        <f t="shared" si="1"/>
        <v>#REF!</v>
      </c>
      <c r="K91" s="46"/>
    </row>
    <row r="92" spans="1:33" x14ac:dyDescent="0.25">
      <c r="A92" s="3">
        <v>40330</v>
      </c>
      <c r="B92" s="44">
        <v>44736705.2545439</v>
      </c>
      <c r="C92" s="59">
        <v>38.380000000000003</v>
      </c>
      <c r="D92" s="59">
        <v>61.812000000000005</v>
      </c>
      <c r="E92" s="61">
        <v>0</v>
      </c>
      <c r="F92" s="62">
        <v>136.83964737599013</v>
      </c>
      <c r="G92" s="61">
        <v>30</v>
      </c>
      <c r="H92" s="45">
        <f>'Rate Class Customer Model'!B3</f>
        <v>18866.499999999993</v>
      </c>
      <c r="I92" s="61">
        <v>352</v>
      </c>
      <c r="J92" s="10">
        <f t="shared" si="1"/>
        <v>48503926.371620774</v>
      </c>
      <c r="K92" s="46"/>
    </row>
    <row r="93" spans="1:33" x14ac:dyDescent="0.25">
      <c r="A93" s="3">
        <v>40360</v>
      </c>
      <c r="B93" s="44">
        <v>44760459.9619454</v>
      </c>
      <c r="C93" s="59">
        <v>6.9845384615384623</v>
      </c>
      <c r="D93" s="59">
        <v>97.923384615384606</v>
      </c>
      <c r="E93" s="61">
        <v>0</v>
      </c>
      <c r="F93" s="62">
        <v>137.14379091119821</v>
      </c>
      <c r="G93" s="61">
        <v>31</v>
      </c>
      <c r="H93" s="45" t="e">
        <f t="shared" ref="H93:H122" si="4">H92+($H$92-$H$81)/11</f>
        <v>#REF!</v>
      </c>
      <c r="I93" s="61">
        <v>336</v>
      </c>
      <c r="J93" s="10" t="e">
        <f t="shared" si="1"/>
        <v>#REF!</v>
      </c>
      <c r="K93" s="46"/>
    </row>
    <row r="94" spans="1:33" x14ac:dyDescent="0.25">
      <c r="A94" s="3">
        <v>40391</v>
      </c>
      <c r="B94" s="44">
        <v>44784214.669346899</v>
      </c>
      <c r="C94" s="59">
        <v>10.977923076923078</v>
      </c>
      <c r="D94" s="59">
        <v>77.38930769230771</v>
      </c>
      <c r="E94" s="61">
        <v>0</v>
      </c>
      <c r="F94" s="62">
        <v>137.44861044412903</v>
      </c>
      <c r="G94" s="61">
        <v>31</v>
      </c>
      <c r="H94" s="45" t="e">
        <f t="shared" si="4"/>
        <v>#REF!</v>
      </c>
      <c r="I94" s="61">
        <v>336</v>
      </c>
      <c r="J94" s="10" t="e">
        <f t="shared" si="1"/>
        <v>#REF!</v>
      </c>
      <c r="K94" s="46"/>
    </row>
    <row r="95" spans="1:33" x14ac:dyDescent="0.25">
      <c r="A95" s="3">
        <v>40422</v>
      </c>
      <c r="B95" s="44">
        <v>44807969.376748398</v>
      </c>
      <c r="C95" s="59">
        <v>71.52353846153845</v>
      </c>
      <c r="D95" s="59">
        <v>27.61961538461539</v>
      </c>
      <c r="E95" s="61">
        <v>1</v>
      </c>
      <c r="F95" s="62">
        <v>137.75410747727361</v>
      </c>
      <c r="G95" s="61">
        <v>30</v>
      </c>
      <c r="H95" s="45" t="e">
        <f t="shared" si="4"/>
        <v>#REF!</v>
      </c>
      <c r="I95" s="61">
        <v>336</v>
      </c>
      <c r="J95" s="10" t="e">
        <f t="shared" si="1"/>
        <v>#REF!</v>
      </c>
      <c r="K95" s="46"/>
    </row>
    <row r="96" spans="1:33" x14ac:dyDescent="0.25">
      <c r="A96" s="3">
        <v>40452</v>
      </c>
      <c r="B96" s="44">
        <v>44831724.084149897</v>
      </c>
      <c r="C96" s="59">
        <v>262.50676923076924</v>
      </c>
      <c r="D96" s="59">
        <v>2.6104615384615388</v>
      </c>
      <c r="E96" s="61">
        <v>1</v>
      </c>
      <c r="F96" s="62">
        <v>138.06028351646239</v>
      </c>
      <c r="G96" s="61">
        <v>31</v>
      </c>
      <c r="H96" s="45" t="e">
        <f t="shared" si="4"/>
        <v>#REF!</v>
      </c>
      <c r="I96" s="61">
        <v>320</v>
      </c>
      <c r="J96" s="10" t="e">
        <f t="shared" si="1"/>
        <v>#REF!</v>
      </c>
      <c r="K96" s="46"/>
    </row>
    <row r="97" spans="1:11" x14ac:dyDescent="0.25">
      <c r="A97" s="3">
        <v>40483</v>
      </c>
      <c r="B97" s="44">
        <v>44855478.791551404</v>
      </c>
      <c r="C97" s="59">
        <v>428.86153846153854</v>
      </c>
      <c r="D97" s="59">
        <v>0</v>
      </c>
      <c r="E97" s="61">
        <v>1</v>
      </c>
      <c r="F97" s="62">
        <v>138.36714007087275</v>
      </c>
      <c r="G97" s="61">
        <v>30</v>
      </c>
      <c r="H97" s="45" t="e">
        <f t="shared" si="4"/>
        <v>#REF!</v>
      </c>
      <c r="I97" s="61">
        <v>336</v>
      </c>
      <c r="J97" s="10" t="e">
        <f t="shared" si="1"/>
        <v>#REF!</v>
      </c>
      <c r="K97" s="46"/>
    </row>
    <row r="98" spans="1:11" x14ac:dyDescent="0.25">
      <c r="A98" s="3">
        <v>40513</v>
      </c>
      <c r="B98" s="44">
        <v>44879233.498952903</v>
      </c>
      <c r="C98" s="59">
        <v>620.4973846153847</v>
      </c>
      <c r="D98" s="59">
        <v>0</v>
      </c>
      <c r="E98" s="61">
        <v>0</v>
      </c>
      <c r="F98" s="62">
        <v>138.67467865303649</v>
      </c>
      <c r="G98" s="61">
        <v>31</v>
      </c>
      <c r="H98" s="45" t="e">
        <f t="shared" si="4"/>
        <v>#REF!</v>
      </c>
      <c r="I98" s="61">
        <v>368</v>
      </c>
      <c r="J98" s="10" t="e">
        <f t="shared" si="1"/>
        <v>#REF!</v>
      </c>
      <c r="K98" s="46"/>
    </row>
    <row r="99" spans="1:11" x14ac:dyDescent="0.25">
      <c r="A99" s="3">
        <v>40544</v>
      </c>
      <c r="B99" s="60"/>
      <c r="C99" s="19">
        <f t="shared" ref="C99:D110" si="5">(C3+C15+C27+C39+C51+C63+C75+C87)/8</f>
        <v>717.5198653846154</v>
      </c>
      <c r="D99" s="19">
        <f t="shared" si="5"/>
        <v>0</v>
      </c>
      <c r="E99" s="61">
        <v>0</v>
      </c>
      <c r="F99" s="62">
        <v>139.03916243618784</v>
      </c>
      <c r="G99" s="61">
        <v>31</v>
      </c>
      <c r="H99" s="45" t="e">
        <f t="shared" si="4"/>
        <v>#REF!</v>
      </c>
      <c r="I99" s="61">
        <v>336</v>
      </c>
      <c r="J99" s="10" t="e">
        <f t="shared" si="1"/>
        <v>#REF!</v>
      </c>
      <c r="K99" s="46"/>
    </row>
    <row r="100" spans="1:11" x14ac:dyDescent="0.25">
      <c r="A100" s="3">
        <v>40575</v>
      </c>
      <c r="C100" s="19">
        <f t="shared" si="5"/>
        <v>661.63424999999995</v>
      </c>
      <c r="D100" s="19">
        <f t="shared" si="5"/>
        <v>0</v>
      </c>
      <c r="E100" s="61">
        <v>0</v>
      </c>
      <c r="F100" s="62">
        <v>139.40460420553731</v>
      </c>
      <c r="G100" s="61">
        <v>28</v>
      </c>
      <c r="H100" s="45" t="e">
        <f t="shared" si="4"/>
        <v>#REF!</v>
      </c>
      <c r="I100" s="61">
        <v>304</v>
      </c>
      <c r="J100" s="10" t="e">
        <f t="shared" si="1"/>
        <v>#REF!</v>
      </c>
      <c r="K100" s="46"/>
    </row>
    <row r="101" spans="1:11" x14ac:dyDescent="0.25">
      <c r="A101" s="3">
        <v>40603</v>
      </c>
      <c r="C101" s="19">
        <f t="shared" si="5"/>
        <v>576.21005769230771</v>
      </c>
      <c r="D101" s="19">
        <f t="shared" si="5"/>
        <v>0</v>
      </c>
      <c r="E101" s="61">
        <v>1</v>
      </c>
      <c r="F101" s="62">
        <v>139.77100647899545</v>
      </c>
      <c r="G101" s="61">
        <v>31</v>
      </c>
      <c r="H101" s="45" t="e">
        <f t="shared" si="4"/>
        <v>#REF!</v>
      </c>
      <c r="I101" s="61">
        <v>368</v>
      </c>
      <c r="J101" s="10" t="e">
        <f t="shared" si="1"/>
        <v>#REF!</v>
      </c>
      <c r="K101" s="46"/>
    </row>
    <row r="102" spans="1:11" x14ac:dyDescent="0.25">
      <c r="A102" s="3">
        <v>40634</v>
      </c>
      <c r="C102" s="19">
        <f t="shared" si="5"/>
        <v>340.21758653846155</v>
      </c>
      <c r="D102" s="19">
        <f t="shared" si="5"/>
        <v>0.15461538461538463</v>
      </c>
      <c r="E102" s="61">
        <v>1</v>
      </c>
      <c r="F102" s="62">
        <v>140.13837178109071</v>
      </c>
      <c r="G102" s="61">
        <v>30</v>
      </c>
      <c r="H102" s="45" t="e">
        <f t="shared" si="4"/>
        <v>#REF!</v>
      </c>
      <c r="I102" s="61">
        <v>320</v>
      </c>
      <c r="J102" s="10" t="e">
        <f t="shared" si="1"/>
        <v>#REF!</v>
      </c>
      <c r="K102" s="46"/>
    </row>
    <row r="103" spans="1:11" x14ac:dyDescent="0.25">
      <c r="A103" s="3">
        <v>40664</v>
      </c>
      <c r="C103" s="19">
        <f t="shared" si="5"/>
        <v>182.38060576923075</v>
      </c>
      <c r="D103" s="19">
        <f t="shared" si="5"/>
        <v>10.404711538461537</v>
      </c>
      <c r="E103" s="61">
        <v>1</v>
      </c>
      <c r="F103" s="62">
        <v>140.50670264298682</v>
      </c>
      <c r="G103" s="61">
        <v>31</v>
      </c>
      <c r="H103" s="45" t="e">
        <f t="shared" si="4"/>
        <v>#REF!</v>
      </c>
      <c r="I103" s="61">
        <v>336</v>
      </c>
      <c r="J103" s="10" t="e">
        <f t="shared" si="1"/>
        <v>#REF!</v>
      </c>
      <c r="K103" s="46"/>
    </row>
    <row r="104" spans="1:11" x14ac:dyDescent="0.25">
      <c r="A104" s="3">
        <v>40695</v>
      </c>
      <c r="C104" s="19">
        <f t="shared" si="5"/>
        <v>35.522499999999994</v>
      </c>
      <c r="D104" s="19">
        <f t="shared" si="5"/>
        <v>60.701499999999996</v>
      </c>
      <c r="E104" s="61">
        <v>0</v>
      </c>
      <c r="F104" s="62">
        <v>140.87600160250034</v>
      </c>
      <c r="G104" s="61">
        <v>30</v>
      </c>
      <c r="H104" s="45" t="e">
        <f t="shared" si="4"/>
        <v>#REF!</v>
      </c>
      <c r="I104" s="61">
        <v>352</v>
      </c>
      <c r="J104" s="10" t="e">
        <f t="shared" si="1"/>
        <v>#REF!</v>
      </c>
      <c r="K104" s="46"/>
    </row>
    <row r="105" spans="1:11" x14ac:dyDescent="0.25">
      <c r="A105" s="3">
        <v>40725</v>
      </c>
      <c r="C105" s="19">
        <f t="shared" si="5"/>
        <v>5.4999903846153844</v>
      </c>
      <c r="D105" s="19">
        <f t="shared" si="5"/>
        <v>100.10965384615385</v>
      </c>
      <c r="E105" s="61">
        <v>0</v>
      </c>
      <c r="F105" s="62">
        <v>141.24627120411799</v>
      </c>
      <c r="G105" s="61">
        <v>31</v>
      </c>
      <c r="H105" s="45" t="e">
        <f t="shared" si="4"/>
        <v>#REF!</v>
      </c>
      <c r="I105" s="61">
        <v>320</v>
      </c>
      <c r="J105" s="10" t="e">
        <f t="shared" si="1"/>
        <v>#REF!</v>
      </c>
      <c r="K105" s="46"/>
    </row>
    <row r="106" spans="1:11" x14ac:dyDescent="0.25">
      <c r="A106" s="3">
        <v>40756</v>
      </c>
      <c r="C106" s="19">
        <f t="shared" si="5"/>
        <v>12.11839423076923</v>
      </c>
      <c r="D106" s="19">
        <f t="shared" si="5"/>
        <v>77.551548076923083</v>
      </c>
      <c r="E106" s="61">
        <v>0</v>
      </c>
      <c r="F106" s="62">
        <v>141.61751399901428</v>
      </c>
      <c r="G106" s="61">
        <v>31</v>
      </c>
      <c r="H106" s="45" t="e">
        <f t="shared" si="4"/>
        <v>#REF!</v>
      </c>
      <c r="I106" s="61">
        <v>352</v>
      </c>
      <c r="J106" s="10" t="e">
        <f t="shared" si="1"/>
        <v>#REF!</v>
      </c>
      <c r="K106" s="46"/>
    </row>
    <row r="107" spans="1:11" x14ac:dyDescent="0.25">
      <c r="A107" s="3">
        <v>40787</v>
      </c>
      <c r="C107" s="19">
        <f t="shared" si="5"/>
        <v>65.47986538461538</v>
      </c>
      <c r="D107" s="19">
        <f t="shared" si="5"/>
        <v>23.520721153846154</v>
      </c>
      <c r="E107" s="61">
        <v>1</v>
      </c>
      <c r="F107" s="62">
        <v>141.98973254506907</v>
      </c>
      <c r="G107" s="61">
        <v>30</v>
      </c>
      <c r="H107" s="45" t="e">
        <f t="shared" si="4"/>
        <v>#REF!</v>
      </c>
      <c r="I107" s="61">
        <v>336</v>
      </c>
      <c r="J107" s="10" t="e">
        <f t="shared" si="1"/>
        <v>#REF!</v>
      </c>
      <c r="K107" s="46"/>
    </row>
    <row r="108" spans="1:11" x14ac:dyDescent="0.25">
      <c r="A108" s="3">
        <v>40817</v>
      </c>
      <c r="C108" s="19">
        <f t="shared" si="5"/>
        <v>257.87680769230769</v>
      </c>
      <c r="D108" s="19">
        <f t="shared" si="5"/>
        <v>3.2243846153846158</v>
      </c>
      <c r="E108" s="61">
        <v>1</v>
      </c>
      <c r="F108" s="62">
        <v>142.3629294068852</v>
      </c>
      <c r="G108" s="61">
        <v>31</v>
      </c>
      <c r="H108" s="45" t="e">
        <f t="shared" si="4"/>
        <v>#REF!</v>
      </c>
      <c r="I108" s="61">
        <v>320</v>
      </c>
      <c r="J108" s="10" t="e">
        <f t="shared" si="1"/>
        <v>#REF!</v>
      </c>
      <c r="K108" s="46"/>
    </row>
    <row r="109" spans="1:11" x14ac:dyDescent="0.25">
      <c r="A109" s="3">
        <v>40848</v>
      </c>
      <c r="C109" s="19">
        <f t="shared" si="5"/>
        <v>419.80961538461543</v>
      </c>
      <c r="D109" s="19">
        <f t="shared" si="5"/>
        <v>0</v>
      </c>
      <c r="E109" s="61">
        <v>1</v>
      </c>
      <c r="F109" s="62">
        <v>142.73710715580614</v>
      </c>
      <c r="G109" s="61">
        <v>30</v>
      </c>
      <c r="H109" s="45" t="e">
        <f t="shared" si="4"/>
        <v>#REF!</v>
      </c>
      <c r="I109" s="61">
        <v>352</v>
      </c>
      <c r="J109" s="10" t="e">
        <f t="shared" si="1"/>
        <v>#REF!</v>
      </c>
      <c r="K109" s="46"/>
    </row>
    <row r="110" spans="1:11" x14ac:dyDescent="0.25">
      <c r="A110" s="3">
        <v>40878</v>
      </c>
      <c r="C110" s="19">
        <f t="shared" si="5"/>
        <v>616.96890384615381</v>
      </c>
      <c r="D110" s="19">
        <f t="shared" si="5"/>
        <v>0</v>
      </c>
      <c r="E110" s="61">
        <v>0</v>
      </c>
      <c r="F110" s="62">
        <v>143.11226836993367</v>
      </c>
      <c r="G110" s="61">
        <v>31</v>
      </c>
      <c r="H110" s="45" t="e">
        <f t="shared" si="4"/>
        <v>#REF!</v>
      </c>
      <c r="I110" s="61">
        <v>336</v>
      </c>
      <c r="J110" s="10" t="e">
        <f t="shared" si="1"/>
        <v>#REF!</v>
      </c>
      <c r="K110" s="46"/>
    </row>
    <row r="111" spans="1:11" x14ac:dyDescent="0.25">
      <c r="A111" s="3">
        <v>40909</v>
      </c>
      <c r="C111" s="19">
        <f>C99</f>
        <v>717.5198653846154</v>
      </c>
      <c r="D111" s="19">
        <f>D99</f>
        <v>0</v>
      </c>
      <c r="E111" s="61">
        <v>0</v>
      </c>
      <c r="F111" s="62">
        <v>143.48841563414587</v>
      </c>
      <c r="G111" s="61">
        <v>31</v>
      </c>
      <c r="H111" s="45" t="e">
        <f t="shared" si="4"/>
        <v>#REF!</v>
      </c>
      <c r="I111" s="61">
        <v>336</v>
      </c>
      <c r="J111" s="10" t="e">
        <f t="shared" si="1"/>
        <v>#REF!</v>
      </c>
      <c r="K111" s="46"/>
    </row>
    <row r="112" spans="1:11" x14ac:dyDescent="0.25">
      <c r="A112" s="3">
        <v>40940</v>
      </c>
      <c r="C112" s="19">
        <f t="shared" ref="C112:D122" si="6">C100</f>
        <v>661.63424999999995</v>
      </c>
      <c r="D112" s="19">
        <f t="shared" si="6"/>
        <v>0</v>
      </c>
      <c r="E112" s="61">
        <v>0</v>
      </c>
      <c r="F112" s="62">
        <v>143.86555154011452</v>
      </c>
      <c r="G112" s="61">
        <v>29</v>
      </c>
      <c r="H112" s="45" t="e">
        <f t="shared" si="4"/>
        <v>#REF!</v>
      </c>
      <c r="I112" s="61">
        <v>320</v>
      </c>
      <c r="J112" s="10" t="e">
        <f t="shared" si="1"/>
        <v>#REF!</v>
      </c>
      <c r="K112" s="46"/>
    </row>
    <row r="113" spans="1:27" x14ac:dyDescent="0.25">
      <c r="A113" s="3">
        <v>40969</v>
      </c>
      <c r="C113" s="19">
        <f t="shared" si="6"/>
        <v>576.21005769230771</v>
      </c>
      <c r="D113" s="19">
        <f t="shared" si="6"/>
        <v>0</v>
      </c>
      <c r="E113" s="61">
        <v>1</v>
      </c>
      <c r="F113" s="62">
        <v>144.24367868632334</v>
      </c>
      <c r="G113" s="61">
        <v>31</v>
      </c>
      <c r="H113" s="45" t="e">
        <f t="shared" si="4"/>
        <v>#REF!</v>
      </c>
      <c r="I113" s="61">
        <v>352</v>
      </c>
      <c r="J113" s="10" t="e">
        <f t="shared" si="1"/>
        <v>#REF!</v>
      </c>
      <c r="K113" s="46"/>
    </row>
    <row r="114" spans="1:27" x14ac:dyDescent="0.25">
      <c r="A114" s="3">
        <v>41000</v>
      </c>
      <c r="C114" s="19">
        <f t="shared" si="6"/>
        <v>340.21758653846155</v>
      </c>
      <c r="D114" s="19">
        <f t="shared" si="6"/>
        <v>0.15461538461538463</v>
      </c>
      <c r="E114" s="61">
        <v>1</v>
      </c>
      <c r="F114" s="62">
        <v>144.62279967808564</v>
      </c>
      <c r="G114" s="61">
        <v>30</v>
      </c>
      <c r="H114" s="45" t="e">
        <f t="shared" si="4"/>
        <v>#REF!</v>
      </c>
      <c r="I114" s="61">
        <v>320</v>
      </c>
      <c r="J114" s="10" t="e">
        <f t="shared" si="1"/>
        <v>#REF!</v>
      </c>
      <c r="K114" s="46"/>
    </row>
    <row r="115" spans="1:27" x14ac:dyDescent="0.25">
      <c r="A115" s="3">
        <v>41030</v>
      </c>
      <c r="C115" s="19">
        <f t="shared" si="6"/>
        <v>182.38060576923075</v>
      </c>
      <c r="D115" s="19">
        <f t="shared" si="6"/>
        <v>10.404711538461537</v>
      </c>
      <c r="E115" s="61">
        <v>1</v>
      </c>
      <c r="F115" s="62">
        <v>145.00291712756245</v>
      </c>
      <c r="G115" s="61">
        <v>31</v>
      </c>
      <c r="H115" s="45" t="e">
        <f t="shared" si="4"/>
        <v>#REF!</v>
      </c>
      <c r="I115" s="61">
        <v>352</v>
      </c>
      <c r="J115" s="10" t="e">
        <f t="shared" si="1"/>
        <v>#REF!</v>
      </c>
      <c r="K115" s="46"/>
    </row>
    <row r="116" spans="1:27" x14ac:dyDescent="0.25">
      <c r="A116" s="3">
        <v>41061</v>
      </c>
      <c r="C116" s="19">
        <f t="shared" si="6"/>
        <v>35.522499999999994</v>
      </c>
      <c r="D116" s="19">
        <f t="shared" si="6"/>
        <v>60.701499999999996</v>
      </c>
      <c r="E116" s="61">
        <v>0</v>
      </c>
      <c r="F116" s="62">
        <v>145.38403365378039</v>
      </c>
      <c r="G116" s="61">
        <v>30</v>
      </c>
      <c r="H116" s="45" t="e">
        <f t="shared" si="4"/>
        <v>#REF!</v>
      </c>
      <c r="I116" s="61">
        <v>336</v>
      </c>
      <c r="J116" s="10" t="e">
        <f t="shared" si="1"/>
        <v>#REF!</v>
      </c>
      <c r="K116" s="46"/>
    </row>
    <row r="117" spans="1:27" x14ac:dyDescent="0.25">
      <c r="A117" s="3">
        <v>41091</v>
      </c>
      <c r="C117" s="19">
        <f t="shared" si="6"/>
        <v>5.4999903846153844</v>
      </c>
      <c r="D117" s="19">
        <f t="shared" si="6"/>
        <v>100.10965384615385</v>
      </c>
      <c r="E117" s="61">
        <v>0</v>
      </c>
      <c r="F117" s="62">
        <v>145.76615188264978</v>
      </c>
      <c r="G117" s="61">
        <v>31</v>
      </c>
      <c r="H117" s="45" t="e">
        <f t="shared" si="4"/>
        <v>#REF!</v>
      </c>
      <c r="I117" s="61">
        <v>336</v>
      </c>
      <c r="J117" s="10" t="e">
        <f t="shared" si="1"/>
        <v>#REF!</v>
      </c>
      <c r="K117" s="46"/>
    </row>
    <row r="118" spans="1:27" x14ac:dyDescent="0.25">
      <c r="A118" s="3">
        <v>41122</v>
      </c>
      <c r="C118" s="19">
        <f t="shared" si="6"/>
        <v>12.11839423076923</v>
      </c>
      <c r="D118" s="19">
        <f t="shared" si="6"/>
        <v>77.551548076923083</v>
      </c>
      <c r="E118" s="61">
        <v>0</v>
      </c>
      <c r="F118" s="62">
        <v>146.14927444698273</v>
      </c>
      <c r="G118" s="61">
        <v>31</v>
      </c>
      <c r="H118" s="45" t="e">
        <f t="shared" si="4"/>
        <v>#REF!</v>
      </c>
      <c r="I118" s="61">
        <v>352</v>
      </c>
      <c r="J118" s="10" t="e">
        <f t="shared" si="1"/>
        <v>#REF!</v>
      </c>
      <c r="K118" s="46"/>
    </row>
    <row r="119" spans="1:27" x14ac:dyDescent="0.25">
      <c r="A119" s="3">
        <v>41153</v>
      </c>
      <c r="C119" s="19">
        <f t="shared" si="6"/>
        <v>65.47986538461538</v>
      </c>
      <c r="D119" s="19">
        <f t="shared" si="6"/>
        <v>23.520721153846154</v>
      </c>
      <c r="E119" s="61">
        <v>1</v>
      </c>
      <c r="F119" s="62">
        <v>146.53340398651127</v>
      </c>
      <c r="G119" s="61">
        <v>30</v>
      </c>
      <c r="H119" s="45" t="e">
        <f t="shared" si="4"/>
        <v>#REF!</v>
      </c>
      <c r="I119" s="61">
        <v>304</v>
      </c>
      <c r="J119" s="10" t="e">
        <f t="shared" si="1"/>
        <v>#REF!</v>
      </c>
      <c r="K119" s="46"/>
    </row>
    <row r="120" spans="1:27" x14ac:dyDescent="0.25">
      <c r="A120" s="3">
        <v>41183</v>
      </c>
      <c r="C120" s="19">
        <f t="shared" si="6"/>
        <v>257.87680769230769</v>
      </c>
      <c r="D120" s="19">
        <f t="shared" si="6"/>
        <v>3.2243846153846158</v>
      </c>
      <c r="E120" s="61">
        <v>1</v>
      </c>
      <c r="F120" s="62">
        <v>146.91854314790552</v>
      </c>
      <c r="G120" s="61">
        <v>31</v>
      </c>
      <c r="H120" s="45" t="e">
        <f t="shared" si="4"/>
        <v>#REF!</v>
      </c>
      <c r="I120" s="61">
        <v>352</v>
      </c>
      <c r="J120" s="10" t="e">
        <f t="shared" si="1"/>
        <v>#REF!</v>
      </c>
      <c r="K120" s="46"/>
    </row>
    <row r="121" spans="1:27" x14ac:dyDescent="0.25">
      <c r="A121" s="3">
        <v>41214</v>
      </c>
      <c r="C121" s="19">
        <f t="shared" si="6"/>
        <v>419.80961538461543</v>
      </c>
      <c r="D121" s="19">
        <f t="shared" si="6"/>
        <v>0</v>
      </c>
      <c r="E121" s="61">
        <v>1</v>
      </c>
      <c r="F121" s="62">
        <v>147.30469458479195</v>
      </c>
      <c r="G121" s="61">
        <v>30</v>
      </c>
      <c r="H121" s="45" t="e">
        <f t="shared" si="4"/>
        <v>#REF!</v>
      </c>
      <c r="I121" s="61">
        <v>352</v>
      </c>
      <c r="J121" s="10" t="e">
        <f t="shared" si="1"/>
        <v>#REF!</v>
      </c>
      <c r="K121" s="46"/>
    </row>
    <row r="122" spans="1:27" x14ac:dyDescent="0.25">
      <c r="A122" s="3">
        <v>41244</v>
      </c>
      <c r="C122" s="19">
        <f t="shared" si="6"/>
        <v>616.96890384615381</v>
      </c>
      <c r="D122" s="19">
        <f t="shared" si="6"/>
        <v>0</v>
      </c>
      <c r="E122" s="61">
        <v>0</v>
      </c>
      <c r="F122" s="62">
        <v>147.69186095777155</v>
      </c>
      <c r="G122" s="61">
        <v>31</v>
      </c>
      <c r="H122" s="45" t="e">
        <f t="shared" si="4"/>
        <v>#REF!</v>
      </c>
      <c r="I122" s="61">
        <v>304</v>
      </c>
      <c r="J122" s="10" t="e">
        <f t="shared" si="1"/>
        <v>#REF!</v>
      </c>
      <c r="K122" s="46"/>
    </row>
    <row r="123" spans="1:27" x14ac:dyDescent="0.25">
      <c r="A123" s="3"/>
      <c r="Y123" s="11"/>
      <c r="Z123" s="11"/>
      <c r="AA123" s="11"/>
    </row>
    <row r="124" spans="1:27" x14ac:dyDescent="0.25">
      <c r="A124" s="3"/>
      <c r="C124" s="20"/>
      <c r="D124" s="1" t="s">
        <v>15</v>
      </c>
      <c r="J124" s="46" t="e">
        <f>SUM(J3:J122)</f>
        <v>#REF!</v>
      </c>
    </row>
    <row r="125" spans="1:27" x14ac:dyDescent="0.25">
      <c r="A125" s="3"/>
    </row>
    <row r="126" spans="1:27" x14ac:dyDescent="0.25">
      <c r="A126" s="17">
        <v>2003</v>
      </c>
      <c r="B126" s="6">
        <f>SUM(B3:B14)</f>
        <v>505586942.70414996</v>
      </c>
      <c r="J126" s="6">
        <f>SUM(J3:J14)</f>
        <v>521531384.66595942</v>
      </c>
      <c r="K126" s="37">
        <f t="shared" ref="K126:K133" si="7">J126-B126</f>
        <v>15944441.961809456</v>
      </c>
      <c r="L126" s="5">
        <f t="shared" ref="L126:L133" si="8">K126/B126</f>
        <v>3.1536498700955436E-2</v>
      </c>
    </row>
    <row r="127" spans="1:27" x14ac:dyDescent="0.25">
      <c r="A127">
        <v>2004</v>
      </c>
      <c r="B127" s="6">
        <f>SUM(B15:B26)</f>
        <v>507610890.17020476</v>
      </c>
      <c r="J127" s="6">
        <f>SUM(J15:J26)</f>
        <v>510041554.37869525</v>
      </c>
      <c r="K127" s="37">
        <f t="shared" si="7"/>
        <v>2430664.2084904909</v>
      </c>
      <c r="L127" s="5">
        <f t="shared" si="8"/>
        <v>4.7884398375997719E-3</v>
      </c>
    </row>
    <row r="128" spans="1:27" x14ac:dyDescent="0.25">
      <c r="A128" s="17">
        <v>2005</v>
      </c>
      <c r="B128" s="6">
        <f>SUM(B27:B38)</f>
        <v>549982103.01204824</v>
      </c>
      <c r="J128" s="6">
        <f>SUM(J27:J38)</f>
        <v>547289275.18620205</v>
      </c>
      <c r="K128" s="37">
        <f t="shared" si="7"/>
        <v>-2692827.8258461952</v>
      </c>
      <c r="L128" s="5">
        <f t="shared" si="8"/>
        <v>-4.8962099150110065E-3</v>
      </c>
      <c r="Y128" s="11"/>
      <c r="Z128" s="11"/>
      <c r="AA128" s="11"/>
    </row>
    <row r="129" spans="1:27" x14ac:dyDescent="0.25">
      <c r="A129">
        <v>2006</v>
      </c>
      <c r="B129" s="6">
        <f>SUM(B39:B50)</f>
        <v>521389291.86732179</v>
      </c>
      <c r="J129" s="6">
        <f>SUM(J39:J50)</f>
        <v>521341002.93232656</v>
      </c>
      <c r="K129" s="37">
        <f t="shared" si="7"/>
        <v>-48288.934995234013</v>
      </c>
      <c r="L129" s="5">
        <f t="shared" si="8"/>
        <v>-9.2615893246081709E-5</v>
      </c>
    </row>
    <row r="130" spans="1:27" x14ac:dyDescent="0.25">
      <c r="A130" s="17">
        <v>2007</v>
      </c>
      <c r="B130" s="6">
        <f>SUM(B51:B62)</f>
        <v>519283117.46092635</v>
      </c>
      <c r="J130" s="6">
        <f>SUM(J51:J62)</f>
        <v>535106678.49977893</v>
      </c>
      <c r="K130" s="37">
        <f t="shared" si="7"/>
        <v>15823561.038852572</v>
      </c>
      <c r="L130" s="5">
        <f t="shared" si="8"/>
        <v>3.0471934300932136E-2</v>
      </c>
    </row>
    <row r="131" spans="1:27" x14ac:dyDescent="0.25">
      <c r="A131">
        <v>2008</v>
      </c>
      <c r="B131" s="6">
        <f>SUM(B63:B74)</f>
        <v>529624806.81752807</v>
      </c>
      <c r="J131" s="6">
        <f>SUM(J63:J74)</f>
        <v>514268682.92629296</v>
      </c>
      <c r="K131" s="37">
        <f t="shared" si="7"/>
        <v>-15356123.891235113</v>
      </c>
      <c r="L131" s="5">
        <f t="shared" si="8"/>
        <v>-2.8994344097114332E-2</v>
      </c>
    </row>
    <row r="132" spans="1:27" x14ac:dyDescent="0.25">
      <c r="A132" s="17">
        <v>2009</v>
      </c>
      <c r="B132" s="6">
        <f>SUM(B75:B86)</f>
        <v>529624806.81752807</v>
      </c>
      <c r="J132" s="6" t="e">
        <f>SUM(J75:J86)</f>
        <v>#REF!</v>
      </c>
      <c r="K132" s="37" t="e">
        <f t="shared" si="7"/>
        <v>#REF!</v>
      </c>
      <c r="L132" s="5" t="e">
        <f t="shared" si="8"/>
        <v>#REF!</v>
      </c>
    </row>
    <row r="133" spans="1:27" x14ac:dyDescent="0.25">
      <c r="A133">
        <v>2010</v>
      </c>
      <c r="B133" s="6">
        <f>SUM(B87:B98)</f>
        <v>536982991.29893577</v>
      </c>
      <c r="J133" s="6" t="e">
        <f>SUM(J87:J98)</f>
        <v>#REF!</v>
      </c>
      <c r="K133" s="37" t="e">
        <f t="shared" si="7"/>
        <v>#REF!</v>
      </c>
      <c r="L133" s="5" t="e">
        <f t="shared" si="8"/>
        <v>#REF!</v>
      </c>
    </row>
    <row r="134" spans="1:27" x14ac:dyDescent="0.25">
      <c r="A134" s="17">
        <v>2011</v>
      </c>
      <c r="J134" s="6" t="e">
        <f>SUM(J99:J110)</f>
        <v>#REF!</v>
      </c>
    </row>
    <row r="135" spans="1:27" x14ac:dyDescent="0.25">
      <c r="A135" s="17">
        <v>2012</v>
      </c>
      <c r="J135" s="6" t="e">
        <f>SUM(J111:J122)</f>
        <v>#REF!</v>
      </c>
    </row>
    <row r="136" spans="1:27" x14ac:dyDescent="0.25">
      <c r="J136" s="6"/>
    </row>
    <row r="137" spans="1:27" x14ac:dyDescent="0.25">
      <c r="A137" t="s">
        <v>79</v>
      </c>
      <c r="B137" s="6">
        <f>SUM(B126:B133)</f>
        <v>4200084950.1486435</v>
      </c>
      <c r="J137" s="6" t="e">
        <f>SUM(J126:J133)</f>
        <v>#REF!</v>
      </c>
      <c r="K137" s="6" t="e">
        <f>J137-B137</f>
        <v>#REF!</v>
      </c>
    </row>
    <row r="139" spans="1:27" x14ac:dyDescent="0.25">
      <c r="J139" s="6" t="e">
        <f>SUM(J126:J135)</f>
        <v>#REF!</v>
      </c>
      <c r="K139" s="46" t="e">
        <f>J124-J139</f>
        <v>#REF!</v>
      </c>
    </row>
    <row r="140" spans="1:27" x14ac:dyDescent="0.25">
      <c r="J140" s="20"/>
      <c r="K140" s="20" t="s">
        <v>65</v>
      </c>
      <c r="L140" s="20"/>
    </row>
    <row r="142" spans="1:27" x14ac:dyDescent="0.25">
      <c r="Y142" s="11"/>
      <c r="Z142" s="11"/>
      <c r="AA142" s="11"/>
    </row>
    <row r="154" spans="25:27" x14ac:dyDescent="0.25">
      <c r="Y154" s="11"/>
      <c r="Z154" s="11"/>
      <c r="AA154" s="11"/>
    </row>
  </sheetData>
  <pageMargins left="0.38" right="0.75" top="0.73" bottom="0.74" header="0.5" footer="0.5"/>
  <pageSetup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12</vt:i4>
      </vt:variant>
    </vt:vector>
  </HeadingPairs>
  <TitlesOfParts>
    <vt:vector size="27" baseType="lpstr">
      <vt:lpstr>Summary</vt:lpstr>
      <vt:lpstr>Power Purchases</vt:lpstr>
      <vt:lpstr>Purchased Power Model</vt:lpstr>
      <vt:lpstr>Regression1</vt:lpstr>
      <vt:lpstr>Regression2</vt:lpstr>
      <vt:lpstr>Rate Class Energy Model</vt:lpstr>
      <vt:lpstr>Rate Class Customer Model</vt:lpstr>
      <vt:lpstr>Rate Class Load Model</vt:lpstr>
      <vt:lpstr>Residential</vt:lpstr>
      <vt:lpstr>GS &lt; 50 kW</vt:lpstr>
      <vt:lpstr>GS &gt; 50 kW</vt:lpstr>
      <vt:lpstr>CDM</vt:lpstr>
      <vt:lpstr>HDD CDD</vt:lpstr>
      <vt:lpstr>WMP</vt:lpstr>
      <vt:lpstr>Tables</vt:lpstr>
      <vt:lpstr>CDM!Print_Area</vt:lpstr>
      <vt:lpstr>'GS &lt; 50 kW'!Print_Area</vt:lpstr>
      <vt:lpstr>'GS &gt; 50 kW'!Print_Area</vt:lpstr>
      <vt:lpstr>'Power Purchases'!Print_Area</vt:lpstr>
      <vt:lpstr>'Purchased Power Model'!Print_Area</vt:lpstr>
      <vt:lpstr>'Rate Class Customer Model'!Print_Area</vt:lpstr>
      <vt:lpstr>'Rate Class Energy Model'!Print_Area</vt:lpstr>
      <vt:lpstr>Residential!Print_Area</vt:lpstr>
      <vt:lpstr>'HDD CDD'!Print_Titles</vt:lpstr>
      <vt:lpstr>'Power Purchases'!Print_Titles</vt:lpstr>
      <vt:lpstr>'Purchased Power Model'!Print_Titles</vt:lpstr>
      <vt:lpstr>WMP!Print_Titles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2020-02-11T23:31:53Z</dcterms:created>
  <dcterms:modified xsi:type="dcterms:W3CDTF">2021-01-20T16:33:18Z</dcterms:modified>
  <cp:category/>
  <cp:contentStatus/>
</cp:coreProperties>
</file>