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L:\FINANCE\Rate Submission\2021 Filing\3. Interrogatories #2\"/>
    </mc:Choice>
  </mc:AlternateContent>
  <xr:revisionPtr revIDLastSave="0" documentId="13_ncr:1_{6E1925B9-3D81-4499-98BD-8CD3FB92B90E}" xr6:coauthVersionLast="46" xr6:coauthVersionMax="46" xr10:uidLastSave="{00000000-0000-0000-0000-000000000000}"/>
  <bookViews>
    <workbookView xWindow="-120" yWindow="-120" windowWidth="29040" windowHeight="15840" activeTab="2" xr2:uid="{00FCEBFA-7DF2-4530-A81D-D5046058B990}"/>
  </bookViews>
  <sheets>
    <sheet name="Consumption 2017-2019" sheetId="5" r:id="rId1"/>
    <sheet name="2017_class A 4 months" sheetId="6" r:id="rId2"/>
    <sheet name="2017_Class A 6 months" sheetId="1" r:id="rId3"/>
    <sheet name="2018" sheetId="3" r:id="rId4"/>
    <sheet name="2019" sheetId="4" r:id="rId5"/>
  </sheets>
  <externalReferences>
    <externalReference r:id="rId6"/>
    <externalReference r:id="rId7"/>
    <externalReference r:id="rId8"/>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8" i="1" l="1"/>
  <c r="C47" i="1"/>
  <c r="C48" i="6" l="1"/>
  <c r="C47" i="6"/>
  <c r="D18" i="1" l="1"/>
  <c r="D18" i="6" l="1"/>
  <c r="C75" i="3"/>
  <c r="C74" i="3"/>
  <c r="D21" i="5"/>
  <c r="F41" i="1" l="1"/>
  <c r="G41" i="1"/>
  <c r="I41" i="1"/>
  <c r="H41" i="1" l="1"/>
  <c r="J41" i="1"/>
  <c r="K41" i="1" s="1"/>
  <c r="D15" i="6" l="1"/>
  <c r="D16" i="6"/>
  <c r="D17" i="6"/>
  <c r="D14" i="6"/>
  <c r="D15" i="1"/>
  <c r="D16" i="1"/>
  <c r="D17" i="1"/>
  <c r="D14" i="1"/>
  <c r="D20" i="5"/>
  <c r="D19" i="5"/>
  <c r="E18" i="5"/>
  <c r="F17" i="5"/>
  <c r="E16" i="5"/>
  <c r="D14" i="5"/>
  <c r="F14" i="5" s="1"/>
  <c r="F19" i="5" l="1"/>
  <c r="F21" i="5"/>
  <c r="F20" i="5"/>
  <c r="F18" i="5" l="1"/>
  <c r="F16" i="5" l="1"/>
  <c r="C88" i="6" l="1"/>
  <c r="E53" i="6"/>
  <c r="D53" i="6"/>
  <c r="C53" i="6"/>
  <c r="I52" i="6"/>
  <c r="G52" i="6"/>
  <c r="I51" i="6"/>
  <c r="G51" i="6"/>
  <c r="I50" i="6"/>
  <c r="G50" i="6"/>
  <c r="I49" i="6"/>
  <c r="G49" i="6"/>
  <c r="I48" i="6"/>
  <c r="G48" i="6"/>
  <c r="I47" i="6"/>
  <c r="G47" i="6"/>
  <c r="I46" i="6"/>
  <c r="G46" i="6"/>
  <c r="I45" i="6"/>
  <c r="G45" i="6"/>
  <c r="I44" i="6"/>
  <c r="G44" i="6"/>
  <c r="I43" i="6"/>
  <c r="G43" i="6"/>
  <c r="I42" i="6"/>
  <c r="G42" i="6"/>
  <c r="F53" i="6"/>
  <c r="I41" i="6"/>
  <c r="G41" i="6"/>
  <c r="H42" i="6" l="1"/>
  <c r="J42" i="6"/>
  <c r="K42" i="6" s="1"/>
  <c r="H44" i="6"/>
  <c r="J44" i="6"/>
  <c r="H46" i="6"/>
  <c r="J46" i="6"/>
  <c r="H48" i="6"/>
  <c r="J48" i="6"/>
  <c r="H50" i="6"/>
  <c r="J50" i="6"/>
  <c r="H52" i="6"/>
  <c r="J52" i="6"/>
  <c r="H41" i="6"/>
  <c r="J41" i="6"/>
  <c r="H43" i="6"/>
  <c r="J43" i="6"/>
  <c r="H45" i="6"/>
  <c r="J45" i="6"/>
  <c r="H47" i="6"/>
  <c r="J47" i="6"/>
  <c r="H49" i="6"/>
  <c r="J49" i="6"/>
  <c r="H51" i="6"/>
  <c r="J51" i="6"/>
  <c r="H53" i="6" l="1"/>
  <c r="K51" i="6"/>
  <c r="K49" i="6"/>
  <c r="K47" i="6"/>
  <c r="K45" i="6"/>
  <c r="K43" i="6"/>
  <c r="J53" i="6"/>
  <c r="K41" i="6"/>
  <c r="K52" i="6"/>
  <c r="K50" i="6"/>
  <c r="K48" i="6"/>
  <c r="K46" i="6"/>
  <c r="K44" i="6"/>
  <c r="D39" i="5"/>
  <c r="D17" i="4" s="1"/>
  <c r="D29" i="5"/>
  <c r="D15" i="4"/>
  <c r="K53" i="6" l="1"/>
  <c r="C89" i="6" s="1"/>
  <c r="C90" i="6" s="1"/>
  <c r="C91" i="6" s="1"/>
  <c r="D91" i="6" s="1"/>
  <c r="D30" i="5"/>
  <c r="D31" i="5" s="1"/>
  <c r="D40" i="5"/>
  <c r="D18" i="4" l="1"/>
  <c r="D41" i="5"/>
  <c r="F8" i="5"/>
  <c r="F39" i="5"/>
  <c r="D15" i="3"/>
  <c r="D17" i="3"/>
  <c r="D18" i="3"/>
  <c r="F29" i="5"/>
  <c r="E38" i="5"/>
  <c r="E36" i="5" s="1"/>
  <c r="F37" i="5"/>
  <c r="F34" i="5"/>
  <c r="E34" i="5"/>
  <c r="E24" i="5"/>
  <c r="E28" i="5"/>
  <c r="E26" i="5" s="1"/>
  <c r="F27" i="5"/>
  <c r="F24" i="5"/>
  <c r="F6" i="5"/>
  <c r="D3" i="5"/>
  <c r="F3" i="5" s="1"/>
  <c r="D28" i="5" l="1"/>
  <c r="D16" i="3" s="1"/>
  <c r="F31" i="5"/>
  <c r="D38" i="5"/>
  <c r="F41" i="5"/>
  <c r="F40" i="5"/>
  <c r="D26" i="5"/>
  <c r="F30" i="5"/>
  <c r="C73" i="4"/>
  <c r="C90" i="4" s="1"/>
  <c r="E53" i="4"/>
  <c r="D53" i="4"/>
  <c r="C53" i="4"/>
  <c r="I52" i="4"/>
  <c r="G52" i="4"/>
  <c r="F52" i="4"/>
  <c r="I51" i="4"/>
  <c r="G51" i="4"/>
  <c r="F51" i="4"/>
  <c r="I50" i="4"/>
  <c r="G50" i="4"/>
  <c r="F50" i="4"/>
  <c r="I49" i="4"/>
  <c r="G49" i="4"/>
  <c r="F49" i="4"/>
  <c r="I48" i="4"/>
  <c r="G48" i="4"/>
  <c r="F48" i="4"/>
  <c r="H48" i="4" s="1"/>
  <c r="I47" i="4"/>
  <c r="G47" i="4"/>
  <c r="H47" i="4" s="1"/>
  <c r="F47" i="4"/>
  <c r="I46" i="4"/>
  <c r="G46" i="4"/>
  <c r="F46" i="4"/>
  <c r="I45" i="4"/>
  <c r="G45" i="4"/>
  <c r="H45" i="4" s="1"/>
  <c r="F45" i="4"/>
  <c r="I44" i="4"/>
  <c r="G44" i="4"/>
  <c r="F44" i="4"/>
  <c r="H44" i="4" s="1"/>
  <c r="I43" i="4"/>
  <c r="G43" i="4"/>
  <c r="H43" i="4" s="1"/>
  <c r="F43" i="4"/>
  <c r="I42" i="4"/>
  <c r="G42" i="4"/>
  <c r="F42" i="4"/>
  <c r="I41" i="4"/>
  <c r="G41" i="4"/>
  <c r="F41" i="4"/>
  <c r="H41" i="4" l="1"/>
  <c r="H49" i="4"/>
  <c r="J50" i="4"/>
  <c r="J42" i="4"/>
  <c r="J45" i="4"/>
  <c r="J48" i="4"/>
  <c r="K48" i="4" s="1"/>
  <c r="J51" i="4"/>
  <c r="J44" i="4"/>
  <c r="K44" i="4" s="1"/>
  <c r="J43" i="4"/>
  <c r="J47" i="4"/>
  <c r="K47" i="4" s="1"/>
  <c r="H51" i="4"/>
  <c r="H52" i="4"/>
  <c r="J52" i="4"/>
  <c r="D36" i="5"/>
  <c r="F36" i="5" s="1"/>
  <c r="D16" i="4"/>
  <c r="F26" i="5"/>
  <c r="D14" i="3"/>
  <c r="F38" i="5"/>
  <c r="F28" i="5"/>
  <c r="F9" i="5"/>
  <c r="K45" i="4"/>
  <c r="J41" i="4"/>
  <c r="K41" i="4" s="1"/>
  <c r="K43" i="4"/>
  <c r="J46" i="4"/>
  <c r="J49" i="4"/>
  <c r="K51" i="4"/>
  <c r="K52" i="4"/>
  <c r="H42" i="4"/>
  <c r="H46" i="4"/>
  <c r="H50" i="4"/>
  <c r="K50" i="4" s="1"/>
  <c r="F53" i="4"/>
  <c r="K59" i="4" s="1"/>
  <c r="K61" i="4" s="1"/>
  <c r="K49" i="4" l="1"/>
  <c r="K46" i="4"/>
  <c r="K59" i="6"/>
  <c r="K61" i="6" s="1"/>
  <c r="D14" i="4"/>
  <c r="J53" i="4"/>
  <c r="H53" i="4"/>
  <c r="K42" i="4"/>
  <c r="K53" i="4" s="1"/>
  <c r="C91" i="4" s="1"/>
  <c r="C92" i="4" s="1"/>
  <c r="C93" i="4" s="1"/>
  <c r="D93" i="4" s="1"/>
  <c r="F18" i="6" l="1"/>
  <c r="F15" i="6"/>
  <c r="F17" i="6"/>
  <c r="F16" i="6"/>
  <c r="F18" i="4"/>
  <c r="F17" i="4"/>
  <c r="F15" i="4"/>
  <c r="F16" i="4"/>
  <c r="C73" i="3"/>
  <c r="C88" i="3" s="1"/>
  <c r="E53" i="3"/>
  <c r="D53" i="3"/>
  <c r="C53" i="3"/>
  <c r="I52" i="3"/>
  <c r="G52" i="3"/>
  <c r="F52" i="3"/>
  <c r="J52" i="3" s="1"/>
  <c r="I51" i="3"/>
  <c r="G51" i="3"/>
  <c r="F51" i="3"/>
  <c r="I50" i="3"/>
  <c r="G50" i="3"/>
  <c r="F50" i="3"/>
  <c r="J50" i="3" s="1"/>
  <c r="I49" i="3"/>
  <c r="G49" i="3"/>
  <c r="F49" i="3"/>
  <c r="J49" i="3" s="1"/>
  <c r="I48" i="3"/>
  <c r="G48" i="3"/>
  <c r="F48" i="3"/>
  <c r="I47" i="3"/>
  <c r="G47" i="3"/>
  <c r="F47" i="3"/>
  <c r="J47" i="3" s="1"/>
  <c r="I46" i="3"/>
  <c r="G46" i="3"/>
  <c r="F46" i="3"/>
  <c r="I45" i="3"/>
  <c r="G45" i="3"/>
  <c r="F45" i="3"/>
  <c r="J45" i="3" s="1"/>
  <c r="I44" i="3"/>
  <c r="G44" i="3"/>
  <c r="F44" i="3"/>
  <c r="J44" i="3" s="1"/>
  <c r="I43" i="3"/>
  <c r="G43" i="3"/>
  <c r="F43" i="3"/>
  <c r="I42" i="3"/>
  <c r="G42" i="3"/>
  <c r="F42" i="3"/>
  <c r="J42" i="3" s="1"/>
  <c r="I41" i="3"/>
  <c r="G41" i="3"/>
  <c r="F41" i="3"/>
  <c r="F17" i="3"/>
  <c r="F16" i="3"/>
  <c r="F15" i="3"/>
  <c r="J48" i="3" l="1"/>
  <c r="J43" i="3"/>
  <c r="J51" i="3"/>
  <c r="J46" i="3"/>
  <c r="F53" i="3"/>
  <c r="F18" i="3"/>
  <c r="H41" i="3"/>
  <c r="J41" i="3"/>
  <c r="H42" i="3"/>
  <c r="K42" i="3" s="1"/>
  <c r="H43" i="3"/>
  <c r="K43" i="3" s="1"/>
  <c r="H44" i="3"/>
  <c r="K44" i="3" s="1"/>
  <c r="H45" i="3"/>
  <c r="K45" i="3" s="1"/>
  <c r="H46" i="3"/>
  <c r="K46" i="3" s="1"/>
  <c r="H47" i="3"/>
  <c r="K47" i="3" s="1"/>
  <c r="H48" i="3"/>
  <c r="K48" i="3" s="1"/>
  <c r="H49" i="3"/>
  <c r="K49" i="3" s="1"/>
  <c r="H50" i="3"/>
  <c r="K50" i="3" s="1"/>
  <c r="H51" i="3"/>
  <c r="H52" i="3"/>
  <c r="K52" i="3" s="1"/>
  <c r="K51" i="3" l="1"/>
  <c r="J53" i="3"/>
  <c r="K41" i="3"/>
  <c r="K53" i="3" s="1"/>
  <c r="C89" i="3" s="1"/>
  <c r="C90" i="3" s="1"/>
  <c r="C91" i="3" s="1"/>
  <c r="D91" i="3" s="1"/>
  <c r="K59" i="3"/>
  <c r="K61" i="3" s="1"/>
  <c r="H53" i="3"/>
  <c r="C88" i="1" l="1"/>
  <c r="E53" i="1"/>
  <c r="D53" i="1"/>
  <c r="C53" i="1"/>
  <c r="D10" i="5" s="1"/>
  <c r="F10" i="5" s="1"/>
  <c r="I52" i="1"/>
  <c r="G52" i="1"/>
  <c r="F52" i="1"/>
  <c r="I51" i="1"/>
  <c r="G51" i="1"/>
  <c r="F51" i="1"/>
  <c r="I50" i="1"/>
  <c r="G50" i="1"/>
  <c r="F50" i="1"/>
  <c r="I49" i="1"/>
  <c r="G49" i="1"/>
  <c r="F49" i="1"/>
  <c r="I48" i="1"/>
  <c r="G48" i="1"/>
  <c r="F48" i="1"/>
  <c r="I47" i="1"/>
  <c r="G47" i="1"/>
  <c r="F47" i="1"/>
  <c r="I46" i="1"/>
  <c r="G46" i="1"/>
  <c r="F46" i="1"/>
  <c r="I45" i="1"/>
  <c r="G45" i="1"/>
  <c r="F45" i="1"/>
  <c r="I44" i="1"/>
  <c r="G44" i="1"/>
  <c r="F44" i="1"/>
  <c r="I43" i="1"/>
  <c r="G43" i="1"/>
  <c r="F43" i="1"/>
  <c r="I42" i="1"/>
  <c r="G42" i="1"/>
  <c r="F42" i="1"/>
  <c r="F17" i="1"/>
  <c r="F15" i="1"/>
  <c r="J43" i="1" l="1"/>
  <c r="J49" i="1"/>
  <c r="J51" i="1"/>
  <c r="J45" i="1"/>
  <c r="J42" i="1"/>
  <c r="J44" i="1"/>
  <c r="J46" i="1"/>
  <c r="J50" i="1"/>
  <c r="J52" i="1"/>
  <c r="F53" i="1"/>
  <c r="J48" i="1"/>
  <c r="J47" i="1"/>
  <c r="F16" i="1"/>
  <c r="F18" i="1"/>
  <c r="H42" i="1"/>
  <c r="K42" i="1" s="1"/>
  <c r="H43" i="1"/>
  <c r="K43" i="1" s="1"/>
  <c r="H44" i="1"/>
  <c r="K44" i="1" s="1"/>
  <c r="H45" i="1"/>
  <c r="H46" i="1"/>
  <c r="K46" i="1" s="1"/>
  <c r="H47" i="1"/>
  <c r="H48" i="1"/>
  <c r="H49" i="1"/>
  <c r="H50" i="1"/>
  <c r="H51" i="1"/>
  <c r="H52" i="1"/>
  <c r="K52" i="1" s="1"/>
  <c r="K47" i="1" l="1"/>
  <c r="K49" i="1"/>
  <c r="K51" i="1"/>
  <c r="K45" i="1"/>
  <c r="K50" i="1"/>
  <c r="K48" i="1"/>
  <c r="K53" i="1" s="1"/>
  <c r="C89" i="1" s="1"/>
  <c r="C90" i="1" s="1"/>
  <c r="J53" i="1"/>
  <c r="H53" i="1"/>
  <c r="K59" i="1"/>
  <c r="K61" i="1" s="1"/>
  <c r="C91" i="1" l="1"/>
  <c r="D91" i="1" s="1"/>
  <c r="E7" i="5"/>
  <c r="E5" i="5" l="1"/>
  <c r="F5" i="5" s="1"/>
  <c r="F7" i="5"/>
</calcChain>
</file>

<file path=xl/sharedStrings.xml><?xml version="1.0" encoding="utf-8"?>
<sst xmlns="http://schemas.openxmlformats.org/spreadsheetml/2006/main" count="509" uniqueCount="124">
  <si>
    <t>Note 2</t>
  </si>
  <si>
    <t>Consumption Data Excluding for Loss Factor (Data to agree with RRR as applicable)</t>
  </si>
  <si>
    <t>Year</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</si>
  <si>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</si>
  <si>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</si>
  <si>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</si>
  <si>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</si>
  <si>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</si>
  <si>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</si>
  <si>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</si>
  <si>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</si>
  <si>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</si>
  <si>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</si>
  <si>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</si>
  <si>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</si>
  <si>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</si>
  <si>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</si>
  <si>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</si>
  <si>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1st Estimate</t>
  </si>
  <si>
    <t>Please confirm that the same GA rate is used to bill all customer classes. If not, please provide further details</t>
  </si>
  <si>
    <t>Yes</t>
  </si>
  <si>
    <t>Please confirm that the GA Rate used for unbilled revenue is the same as the one used for billed revenue in any paticular month</t>
  </si>
  <si>
    <t>Note 4</t>
  </si>
  <si>
    <t>Analysis of Expected GA Amount</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</si>
  <si>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</si>
  <si>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</si>
  <si>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</si>
  <si>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</si>
  <si>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</si>
  <si>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</si>
  <si>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</si>
  <si>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</si>
  <si>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</si>
  <si>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Variance ($)</t>
  </si>
  <si>
    <t>F</t>
  </si>
  <si>
    <t>G</t>
  </si>
  <si>
    <t>H</t>
  </si>
  <si>
    <t>I = F-G+H</t>
  </si>
  <si>
    <t>J</t>
  </si>
  <si>
    <t>K = I*J</t>
  </si>
  <si>
    <t>L</t>
  </si>
  <si>
    <t>M = I*L</t>
  </si>
  <si>
    <t>=M-K</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</si>
  <si>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</si>
  <si>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</si>
  <si>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</si>
  <si>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</si>
  <si>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</si>
  <si>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</si>
  <si>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</si>
  <si>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</si>
  <si>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</si>
  <si>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</si>
  <si>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</si>
  <si>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</si>
  <si>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</si>
  <si>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Calculated Loss Factor</t>
  </si>
  <si>
    <t>Most Recent Approved Loss Factor for Secondary Metered Customer &lt; 5,000kW</t>
  </si>
  <si>
    <t>Difference</t>
  </si>
  <si>
    <t>a) Please provide an explanation in the textbox below if columns G and H are not used in the table above.</t>
  </si>
  <si>
    <t>Column F represents actual consumption for the month</t>
  </si>
  <si>
    <t>b) Please provide an explanation in the textbox below if the difference in loss factor is greater than 1%</t>
  </si>
  <si>
    <t xml:space="preserve">Note 5 </t>
  </si>
  <si>
    <t xml:space="preserve">Reconciling Items </t>
  </si>
  <si>
    <t xml:space="preserve"> Item</t>
  </si>
  <si>
    <t>Amount</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</si>
  <si>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</si>
  <si>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</si>
  <si>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</si>
  <si>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</si>
  <si>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</si>
  <si>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</si>
  <si>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</si>
  <si>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1b</t>
  </si>
  <si>
    <t>CT 148 True-up of GA Charges based on Actual Non-RPP Volumes - current year</t>
  </si>
  <si>
    <t>2a</t>
  </si>
  <si>
    <t>Remove prior year end unbilled to actual revenue differences</t>
  </si>
  <si>
    <t>2b</t>
  </si>
  <si>
    <t>Add current year end unbilled to actual revenue differences</t>
  </si>
  <si>
    <t>3a</t>
  </si>
  <si>
    <t>Remove difference between prior year accrual/forecast to actual from long term load transfers</t>
  </si>
  <si>
    <t>3b</t>
  </si>
  <si>
    <t>Add difference between current year accrual/forecast to actual from long term load transfers</t>
  </si>
  <si>
    <t>Remove GA balances pertaining to Class A customers</t>
  </si>
  <si>
    <t>Significant prior period billing adjustments recorded in current year</t>
  </si>
  <si>
    <t>Differences in GA IESO posted rate and rate charged on IESO invoice</t>
  </si>
  <si>
    <t>Differences in actual system losses and billed TLFs</t>
  </si>
  <si>
    <t>Others as justified by distributor</t>
  </si>
  <si>
    <t>Note 6</t>
  </si>
  <si>
    <t>Adjusted Net Change in Principal Balance in the GL</t>
  </si>
  <si>
    <t>Net Change in Expected GA Balance in the Year Per Analysis</t>
  </si>
  <si>
    <t>Unresolved Difference</t>
  </si>
  <si>
    <t>Unresolved Difference as % of Expected GA Payments to IESO</t>
  </si>
  <si>
    <t>AG no issue 847</t>
  </si>
  <si>
    <t>L:\FINANCE\IESO\Form 1598\Form 1598 2017\2021 IRM Acctg Guidance - Jan 2021\2021 IRM Acctg Guidance - Jan 2021 no issue 847 Class A July and Aug</t>
  </si>
  <si>
    <t>Remove difference between prior year accrual/unbilled to actual from load transfers</t>
  </si>
  <si>
    <t>Add difference between current year accrual/unbilled to actual from load transfers</t>
  </si>
  <si>
    <t>CT 2148 for prior period corrections</t>
  </si>
  <si>
    <t>Current RRR</t>
  </si>
  <si>
    <t>RRR to be amended</t>
  </si>
  <si>
    <t>Loss Factor</t>
  </si>
  <si>
    <t>Class A 4 months</t>
  </si>
  <si>
    <t xml:space="preserve">From Accounting guidance reconciliation - This is the power and GA true up comparing original submissions to IESO, and what submissions should have been after completing accounting guidance for the entire year. </t>
  </si>
  <si>
    <t>2017 Class A 4 months</t>
  </si>
  <si>
    <t>2017 Class A 6 months</t>
  </si>
  <si>
    <t>These RRR values are incorrect.  When a RRR revision request was submitted, it was to adjust Class A values.  The revision did not specify to move these values to Class B, so therefore Class B and Total Metered were revised incorrectly.</t>
  </si>
  <si>
    <t>Updated RRR values 2017-2019</t>
  </si>
  <si>
    <t>Removal of Power/GA true up</t>
  </si>
  <si>
    <t>Removal of Short term load transfer</t>
  </si>
  <si>
    <t>Removal of previously calculated Power/GA true up that was included in GL for 2019.</t>
  </si>
  <si>
    <t>Adjustments had been made in 2018 GL that pertained to settlements in 2016-2018.  After re-running the accounting guidance, these amounts were reversed as corrected amounts were calculated</t>
  </si>
  <si>
    <t>From Accounting guidance reconciliation - This is the power and GA true up comparing original submissions to IESO, and what submissions should have been after completing accounting guidance for the entire year.   Also includes reversalof prior posted Power GA reconciliation amount</t>
  </si>
  <si>
    <t>Remove Class A correction paid in 2018</t>
  </si>
  <si>
    <t>Class A submitted Sept 2017 to Mar 2018 incorrectly.  This removes 2017 GA portion of correction paid to IESO in 2018.</t>
  </si>
  <si>
    <t>Class A submitted Sept 2017 to Mar 2018 incorrectly.  This adjusts for 2017 GA portion of correction payable to IESO in 2018.  This adds back the portion related to Sept to Dec consumption</t>
  </si>
  <si>
    <t>Amount cleared correctly in 2017 GL</t>
  </si>
  <si>
    <t>GA amount from IESO bill was posted to 1588 but should have been posted to 1589 GA Sept 2017</t>
  </si>
  <si>
    <t>The total amount payable to the IESO is included in the GL in 2018.  There is no principal adjustment required for this adjustment to remove the portion pertaining to 2017 consumption</t>
  </si>
  <si>
    <t>Remove prior year unbilled differences</t>
  </si>
  <si>
    <t xml:space="preserve">Reversal of Long term load transfer that took place in 2016 but was billed in 2017.  </t>
  </si>
  <si>
    <t>Removal of prior year STLT.  Took place in 2018, accrued in 2019, but billed in 2020</t>
  </si>
  <si>
    <t>From Accounting guidance reconciliation - This is the power and GA true up comparing original IESO billing, and what billing should have been after completing accounting guidance for the entire year.</t>
  </si>
  <si>
    <t>Remove GA impact of overpayment of issue #1 - $388k overpaid to IESO as Class A balances not recognized by IESO July and August 2017</t>
  </si>
  <si>
    <t xml:space="preserve">The RRR data has been revised from values above, as RRR revision has been submitted.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</si>
</sst>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164" formatCode="_(&quot;$&quot;* #,##0.00_);_(&quot;$&quot;* \(#,##0.00\);_(&quot;$&quot;* &quot;-&quot;??_);_(@_)"/>
    <numFmt numFmtId="165" formatCode="_(* #,##0.00_);_(* \(#,##0.00\);_(* &quot;-&quot;??_);_(@_)"/>
    <numFmt numFmtId="166" formatCode="_-* #,##0_-;_-* \(#,##0\)_-;_-* &quot;-&quot;??_-;_-@_-"/>
    <numFmt numFmtId="167" formatCode="0.0%"/>
    <numFmt numFmtId="168" formatCode="_-* #,##0_-;\-* #,##0_-;_-* &quot;-&quot;??_-;_-@_-"/>
    <numFmt numFmtId="169" formatCode="0.00000"/>
    <numFmt numFmtId="170" formatCode="_-&quot;$&quot;* #,##0_-;_-&quot;$&quot;* \(#,##0\)_-;_-&quot;$&quot;* &quot;-&quot;??_-;_-@_-"/>
    <numFmt numFmtId="171" formatCode="_-&quot;$&quot;* #,##0_-;\-&quot;$&quot;* #,##0_-;_-&quot;$&quot;* &quot;-&quot;??_-;_-@_-"/>
    <numFmt numFmtId="172" formatCode="0.0000"/>
    <numFmt numFmtId="173" formatCode="_(* #,##0_);_(* \(#,##0\);_(* &quot;-&quot;??_);_(@_)"/>
    <numFmt numFmtId="174" formatCode="_(* #,##0.0000_);_(* \(#,##0.0000\);_(* &quot;-&quot;??_);_(@_)"/>
  </numFmts>
  <fonts count="11" x14ac:knownFonts="1">
    <font>
      <sz val="11"/>
      <color theme="1"/>
      <name val="Calibri"/>
      <family val="2"/>
      <scheme val="minor"/>
    </font>
    <font>
      <sz val="11"/>
      <color theme="1"/>
      <name val="Calibri"/>
      <family val="2"/>
      <scheme val="minor"/>
    </font>
    <font>
      <sz val="11"/>
      <name val="Arial"/>
      <family val="2"/>
    </font>
    <font>
      <b/>
      <u/>
      <sz val="11"/>
      <name val="Arial"/>
      <family val="2"/>
    </font>
    <font>
      <b/>
      <sz val="11"/>
      <name val="Arial"/>
      <family val="2"/>
    </font>
    <font>
      <sz val="11"/>
      <color theme="1"/>
      <name val="Arial"/>
      <family val="2"/>
    </font>
    <font>
      <sz val="10"/>
      <name val="Arial"/>
      <family val="2"/>
    </font>
    <font>
      <sz val="11"/>
      <color rgb="FFFF0000"/>
      <name val="Arial"/>
      <family val="2"/>
    </font>
    <font>
      <b/>
      <u/>
      <sz val="11"/>
      <color theme="1"/>
      <name val="Arial"/>
      <family val="2"/>
    </font>
    <font>
      <b/>
      <sz val="11"/>
      <color theme="1"/>
      <name val="Arial"/>
      <family val="2"/>
    </font>
    <font>
      <b/>
      <sz val="11"/>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44" fontId="1" fillId="0" borderId="0" applyFont="0" applyFill="0" applyBorder="0" applyAlignment="0" applyProtection="0"/>
  </cellStyleXfs>
  <cellXfs count="167">
    <xf numFmtId="0" fontId="0" fillId="0" borderId="0" xfId="0"/>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xf numFmtId="0" fontId="4" fillId="0" borderId="1" xfId="0" applyFont="1" applyBorder="1" applyAlignment="1">
      <alignment horizontal="center" vertical="center"/>
    </xf>
    <xf numFmtId="0" fontId="2" fillId="0" borderId="1" xfId="0" applyFont="1" applyBorder="1" applyAlignment="1">
      <alignment horizontal="left" vertical="center"/>
    </xf>
    <xf numFmtId="166" fontId="2" fillId="0" borderId="4" xfId="1" applyNumberFormat="1" applyFont="1" applyFill="1" applyBorder="1" applyAlignment="1">
      <alignment vertical="center"/>
    </xf>
    <xf numFmtId="0" fontId="2" fillId="0" borderId="1" xfId="0" applyFont="1" applyBorder="1" applyAlignment="1">
      <alignment horizontal="center" vertical="center"/>
    </xf>
    <xf numFmtId="9" fontId="2" fillId="0" borderId="1" xfId="4" applyFont="1" applyBorder="1" applyAlignment="1">
      <alignment horizontal="right" vertical="center"/>
    </xf>
    <xf numFmtId="167" fontId="2" fillId="0" borderId="1" xfId="4" applyNumberFormat="1" applyFont="1" applyBorder="1" applyAlignment="1">
      <alignment horizontal="right" vertical="center"/>
    </xf>
    <xf numFmtId="168" fontId="5" fillId="0" borderId="0" xfId="0" applyNumberFormat="1" applyFont="1"/>
    <xf numFmtId="0" fontId="8" fillId="0" borderId="0" xfId="0" applyFont="1"/>
    <xf numFmtId="0" fontId="9" fillId="0" borderId="0" xfId="0" applyFont="1"/>
    <xf numFmtId="0" fontId="5" fillId="2" borderId="1" xfId="0" applyFont="1" applyFill="1" applyBorder="1" applyProtection="1">
      <protection locked="0"/>
    </xf>
    <xf numFmtId="0" fontId="9" fillId="0" borderId="0" xfId="0" applyFont="1"/>
    <xf numFmtId="0" fontId="0" fillId="0" borderId="0" xfId="0"/>
    <xf numFmtId="0" fontId="9" fillId="0" borderId="0" xfId="0" applyFont="1" applyAlignment="1">
      <alignment wrapText="1"/>
    </xf>
    <xf numFmtId="0" fontId="3" fillId="0" borderId="0" xfId="0" applyFont="1"/>
    <xf numFmtId="0" fontId="9" fillId="0" borderId="0" xfId="0" applyFont="1" applyAlignment="1">
      <alignment horizontal="center"/>
    </xf>
    <xf numFmtId="0" fontId="2" fillId="0" borderId="6" xfId="0" applyFont="1" applyBorder="1"/>
    <xf numFmtId="0" fontId="9" fillId="0" borderId="7" xfId="0" applyFont="1" applyBorder="1" applyAlignment="1">
      <alignment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9" fillId="0" borderId="11" xfId="0" applyFont="1" applyBorder="1" applyAlignment="1">
      <alignment horizontal="center" wrapText="1"/>
    </xf>
    <xf numFmtId="0" fontId="4" fillId="0" borderId="12" xfId="0" applyFont="1" applyBorder="1" applyAlignment="1">
      <alignment horizontal="center" wrapText="1"/>
    </xf>
    <xf numFmtId="0" fontId="9" fillId="0" borderId="13" xfId="0" applyFont="1" applyBorder="1" applyAlignment="1">
      <alignment horizontal="center" wrapText="1"/>
    </xf>
    <xf numFmtId="0" fontId="4" fillId="0" borderId="14" xfId="0" applyFont="1" applyBorder="1" applyAlignment="1">
      <alignment horizontal="center" wrapText="1"/>
    </xf>
    <xf numFmtId="0" fontId="4" fillId="0" borderId="15" xfId="0" applyFont="1" applyBorder="1" applyAlignment="1">
      <alignment horizontal="center" wrapText="1"/>
    </xf>
    <xf numFmtId="0" fontId="4" fillId="0" borderId="15" xfId="0" quotePrefix="1" applyFont="1" applyBorder="1" applyAlignment="1">
      <alignment horizontal="center" wrapText="1"/>
    </xf>
    <xf numFmtId="0" fontId="4" fillId="0" borderId="16" xfId="0" quotePrefix="1" applyFont="1" applyBorder="1" applyAlignment="1">
      <alignment horizontal="center" wrapText="1"/>
    </xf>
    <xf numFmtId="0" fontId="5" fillId="0" borderId="17" xfId="0" applyFont="1" applyBorder="1"/>
    <xf numFmtId="166" fontId="5" fillId="3" borderId="3" xfId="1" applyNumberFormat="1" applyFont="1" applyFill="1" applyBorder="1" applyProtection="1">
      <protection locked="0"/>
    </xf>
    <xf numFmtId="166" fontId="5" fillId="3" borderId="1" xfId="1" applyNumberFormat="1" applyFont="1" applyFill="1" applyBorder="1" applyProtection="1">
      <protection locked="0"/>
    </xf>
    <xf numFmtId="166" fontId="5" fillId="0" borderId="1" xfId="1" applyNumberFormat="1" applyFont="1" applyFill="1" applyBorder="1"/>
    <xf numFmtId="169" fontId="5" fillId="0" borderId="1" xfId="0" applyNumberFormat="1" applyFont="1" applyBorder="1"/>
    <xf numFmtId="170" fontId="5" fillId="0" borderId="1" xfId="2" applyNumberFormat="1" applyFont="1" applyFill="1" applyBorder="1"/>
    <xf numFmtId="170" fontId="5" fillId="0" borderId="1" xfId="2" applyNumberFormat="1" applyFont="1" applyBorder="1"/>
    <xf numFmtId="170" fontId="5" fillId="0" borderId="18" xfId="2" applyNumberFormat="1" applyFont="1" applyBorder="1"/>
    <xf numFmtId="166" fontId="5" fillId="3" borderId="19" xfId="1" applyNumberFormat="1" applyFont="1" applyFill="1" applyBorder="1" applyProtection="1">
      <protection locked="0"/>
    </xf>
    <xf numFmtId="0" fontId="4" fillId="0" borderId="20" xfId="0" applyFont="1" applyBorder="1" applyAlignment="1">
      <alignment wrapText="1"/>
    </xf>
    <xf numFmtId="166" fontId="9" fillId="0" borderId="4" xfId="1" applyNumberFormat="1" applyFont="1" applyBorder="1"/>
    <xf numFmtId="0" fontId="9" fillId="0" borderId="4" xfId="0" applyFont="1" applyBorder="1"/>
    <xf numFmtId="170" fontId="9" fillId="0" borderId="4" xfId="2" applyNumberFormat="1" applyFont="1" applyBorder="1"/>
    <xf numFmtId="170" fontId="9" fillId="0" borderId="21" xfId="2" applyNumberFormat="1" applyFont="1" applyBorder="1"/>
    <xf numFmtId="0" fontId="2" fillId="0" borderId="0" xfId="0" applyFont="1" applyAlignment="1">
      <alignment horizontal="right"/>
    </xf>
    <xf numFmtId="171" fontId="5" fillId="0" borderId="0" xfId="2" applyNumberFormat="1" applyFont="1" applyFill="1"/>
    <xf numFmtId="169" fontId="5" fillId="0" borderId="0" xfId="0" applyNumberFormat="1" applyFont="1"/>
    <xf numFmtId="171" fontId="9" fillId="0" borderId="0" xfId="2" applyNumberFormat="1" applyFont="1" applyBorder="1"/>
    <xf numFmtId="172" fontId="9" fillId="0" borderId="0" xfId="3" applyNumberFormat="1" applyFont="1" applyFill="1"/>
    <xf numFmtId="0" fontId="5" fillId="3" borderId="22" xfId="0" applyFont="1" applyFill="1" applyBorder="1" applyAlignment="1" applyProtection="1">
      <alignment horizontal="center"/>
      <protection locked="0"/>
    </xf>
    <xf numFmtId="171" fontId="9" fillId="0" borderId="0" xfId="5" applyNumberFormat="1" applyFont="1" applyBorder="1" applyAlignment="1">
      <alignment horizontal="left" wrapText="1"/>
    </xf>
    <xf numFmtId="165" fontId="5" fillId="0" borderId="0" xfId="1" applyFont="1"/>
    <xf numFmtId="44" fontId="5" fillId="0" borderId="0" xfId="0" applyNumberFormat="1" applyFont="1"/>
    <xf numFmtId="0" fontId="5" fillId="0" borderId="1" xfId="0" applyFont="1" applyBorder="1"/>
    <xf numFmtId="0" fontId="9" fillId="0" borderId="1" xfId="0" applyFont="1" applyBorder="1" applyAlignment="1">
      <alignment horizontal="center"/>
    </xf>
    <xf numFmtId="0" fontId="4" fillId="0" borderId="2" xfId="0" applyFont="1" applyBorder="1" applyAlignment="1">
      <alignment horizontal="center" wrapText="1"/>
    </xf>
    <xf numFmtId="170" fontId="5" fillId="3" borderId="2" xfId="0" applyNumberFormat="1" applyFont="1" applyFill="1" applyBorder="1" applyAlignment="1" applyProtection="1">
      <alignment horizont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right"/>
    </xf>
    <xf numFmtId="0" fontId="2" fillId="0" borderId="1" xfId="0" applyFont="1" applyBorder="1" applyAlignment="1">
      <alignment wrapText="1"/>
    </xf>
    <xf numFmtId="0" fontId="5" fillId="0" borderId="1" xfId="0" applyFont="1" applyBorder="1" applyAlignment="1">
      <alignment horizontal="right"/>
    </xf>
    <xf numFmtId="0" fontId="2" fillId="4" borderId="1" xfId="0" applyFont="1" applyFill="1" applyBorder="1" applyAlignment="1">
      <alignment wrapText="1"/>
    </xf>
    <xf numFmtId="0" fontId="5" fillId="0" borderId="1" xfId="0" applyFont="1" applyBorder="1" applyAlignment="1">
      <alignment wrapText="1"/>
    </xf>
    <xf numFmtId="0" fontId="5" fillId="3" borderId="1" xfId="0" applyFont="1" applyFill="1" applyBorder="1" applyAlignment="1" applyProtection="1">
      <alignment wrapText="1"/>
      <protection locked="0"/>
    </xf>
    <xf numFmtId="0" fontId="5" fillId="0" borderId="0" xfId="0" applyFont="1" applyAlignment="1">
      <alignment horizontal="right"/>
    </xf>
    <xf numFmtId="170" fontId="5" fillId="0" borderId="0" xfId="2" applyNumberFormat="1" applyFont="1" applyBorder="1"/>
    <xf numFmtId="170" fontId="5" fillId="0" borderId="5" xfId="2" applyNumberFormat="1" applyFont="1" applyBorder="1"/>
    <xf numFmtId="164" fontId="5" fillId="0" borderId="0" xfId="2" applyFont="1"/>
    <xf numFmtId="0" fontId="4" fillId="0" borderId="0" xfId="0" applyFont="1" applyAlignment="1">
      <alignment wrapText="1"/>
    </xf>
    <xf numFmtId="170" fontId="5" fillId="0" borderId="0" xfId="2" applyNumberFormat="1" applyFont="1"/>
    <xf numFmtId="167" fontId="5" fillId="0" borderId="31" xfId="3" applyNumberFormat="1" applyFont="1" applyBorder="1"/>
    <xf numFmtId="0" fontId="7" fillId="0" borderId="0" xfId="0" applyFont="1"/>
    <xf numFmtId="164" fontId="5" fillId="0" borderId="0" xfId="2" applyFont="1" applyBorder="1"/>
    <xf numFmtId="9" fontId="7" fillId="0" borderId="0" xfId="3" applyFont="1" applyBorder="1"/>
    <xf numFmtId="9" fontId="5" fillId="0" borderId="0" xfId="3" applyFont="1" applyBorder="1"/>
    <xf numFmtId="0" fontId="9" fillId="0" borderId="0" xfId="0" applyFont="1"/>
    <xf numFmtId="0" fontId="0" fillId="0" borderId="0" xfId="0"/>
    <xf numFmtId="171" fontId="9" fillId="0" borderId="0" xfId="5" applyNumberFormat="1" applyFont="1" applyBorder="1" applyAlignment="1">
      <alignment horizontal="left" wrapText="1"/>
    </xf>
    <xf numFmtId="0" fontId="5" fillId="5" borderId="17" xfId="0" applyFont="1" applyFill="1" applyBorder="1"/>
    <xf numFmtId="166" fontId="5" fillId="5" borderId="1" xfId="1" applyNumberFormat="1" applyFont="1" applyFill="1" applyBorder="1" applyProtection="1">
      <protection locked="0"/>
    </xf>
    <xf numFmtId="166" fontId="5" fillId="5" borderId="3" xfId="1" applyNumberFormat="1" applyFont="1" applyFill="1" applyBorder="1" applyProtection="1">
      <protection locked="0"/>
    </xf>
    <xf numFmtId="166" fontId="5" fillId="5" borderId="1" xfId="1" applyNumberFormat="1" applyFont="1" applyFill="1" applyBorder="1"/>
    <xf numFmtId="169" fontId="5" fillId="5" borderId="1" xfId="0" applyNumberFormat="1" applyFont="1" applyFill="1" applyBorder="1"/>
    <xf numFmtId="170" fontId="5" fillId="5" borderId="1" xfId="2" applyNumberFormat="1" applyFont="1" applyFill="1" applyBorder="1"/>
    <xf numFmtId="170" fontId="5" fillId="5" borderId="18" xfId="2" applyNumberFormat="1" applyFont="1" applyFill="1" applyBorder="1"/>
    <xf numFmtId="170" fontId="5" fillId="0" borderId="1" xfId="5" applyNumberFormat="1" applyFont="1" applyFill="1" applyBorder="1"/>
    <xf numFmtId="170" fontId="5" fillId="0" borderId="1" xfId="5" applyNumberFormat="1" applyFont="1" applyBorder="1"/>
    <xf numFmtId="170" fontId="5" fillId="0" borderId="18" xfId="5" applyNumberFormat="1" applyFont="1" applyBorder="1"/>
    <xf numFmtId="170" fontId="9" fillId="0" borderId="4" xfId="5" applyNumberFormat="1" applyFont="1" applyBorder="1"/>
    <xf numFmtId="170" fontId="9" fillId="0" borderId="21" xfId="5" applyNumberFormat="1" applyFont="1" applyBorder="1"/>
    <xf numFmtId="171" fontId="5" fillId="0" borderId="0" xfId="5" applyNumberFormat="1" applyFont="1" applyFill="1"/>
    <xf numFmtId="171" fontId="9" fillId="0" borderId="0" xfId="5" applyNumberFormat="1" applyFont="1" applyBorder="1"/>
    <xf numFmtId="170" fontId="5" fillId="0" borderId="0" xfId="5" applyNumberFormat="1" applyFont="1" applyBorder="1"/>
    <xf numFmtId="170" fontId="5" fillId="0" borderId="5" xfId="5" applyNumberFormat="1" applyFont="1" applyBorder="1"/>
    <xf numFmtId="44" fontId="5" fillId="0" borderId="0" xfId="5" applyFont="1"/>
    <xf numFmtId="170" fontId="5" fillId="0" borderId="0" xfId="5" applyNumberFormat="1" applyFont="1"/>
    <xf numFmtId="44" fontId="5" fillId="0" borderId="0" xfId="5" applyFont="1" applyBorder="1"/>
    <xf numFmtId="0" fontId="4" fillId="0" borderId="32" xfId="0" applyFont="1" applyBorder="1" applyAlignment="1">
      <alignment horizontal="center" vertical="center" wrapText="1"/>
    </xf>
    <xf numFmtId="0" fontId="4" fillId="0" borderId="1" xfId="0" applyFont="1" applyBorder="1" applyAlignment="1">
      <alignment horizontal="left" vertical="center"/>
    </xf>
    <xf numFmtId="0" fontId="0" fillId="0" borderId="0" xfId="0"/>
    <xf numFmtId="166" fontId="5" fillId="0" borderId="0" xfId="0" applyNumberFormat="1" applyFont="1"/>
    <xf numFmtId="173" fontId="5" fillId="0" borderId="0" xfId="1" applyNumberFormat="1" applyFont="1"/>
    <xf numFmtId="0" fontId="4" fillId="0" borderId="33" xfId="0" applyFont="1" applyBorder="1" applyAlignment="1">
      <alignment horizontal="center" vertical="center"/>
    </xf>
    <xf numFmtId="173" fontId="2" fillId="0" borderId="0" xfId="1" applyNumberFormat="1" applyFont="1"/>
    <xf numFmtId="174" fontId="2" fillId="0" borderId="4" xfId="1" applyNumberFormat="1" applyFont="1" applyFill="1" applyBorder="1" applyAlignment="1">
      <alignment vertical="center"/>
    </xf>
    <xf numFmtId="173" fontId="2" fillId="0" borderId="0" xfId="1" applyNumberFormat="1" applyFont="1" applyFill="1"/>
    <xf numFmtId="0" fontId="5" fillId="0" borderId="0" xfId="0" applyFont="1" applyFill="1"/>
    <xf numFmtId="0" fontId="0" fillId="0" borderId="0" xfId="0" applyFill="1"/>
    <xf numFmtId="0" fontId="2" fillId="0" borderId="0" xfId="0" applyFont="1" applyFill="1"/>
    <xf numFmtId="0" fontId="4" fillId="0" borderId="1" xfId="0" applyFont="1" applyBorder="1" applyAlignment="1">
      <alignment horizontal="left" vertical="center"/>
    </xf>
    <xf numFmtId="171" fontId="9" fillId="0" borderId="0" xfId="5" applyNumberFormat="1" applyFont="1" applyBorder="1" applyAlignment="1">
      <alignment horizontal="left" wrapText="1"/>
    </xf>
    <xf numFmtId="0" fontId="9" fillId="0" borderId="0" xfId="0" applyFont="1"/>
    <xf numFmtId="0" fontId="0" fillId="0" borderId="0" xfId="0"/>
    <xf numFmtId="0" fontId="4" fillId="0" borderId="1" xfId="0" applyFont="1" applyBorder="1" applyAlignment="1">
      <alignment horizontal="center" vertical="center" wrapText="1"/>
    </xf>
    <xf numFmtId="0" fontId="0" fillId="0" borderId="0" xfId="0"/>
    <xf numFmtId="0" fontId="0" fillId="0" borderId="0" xfId="0" applyBorder="1"/>
    <xf numFmtId="0" fontId="5" fillId="0" borderId="5" xfId="0" applyFont="1" applyFill="1" applyBorder="1"/>
    <xf numFmtId="166" fontId="2" fillId="0" borderId="5" xfId="1" applyNumberFormat="1" applyFont="1" applyFill="1" applyBorder="1" applyAlignment="1">
      <alignment vertical="center"/>
    </xf>
    <xf numFmtId="0" fontId="5" fillId="0" borderId="24" xfId="0" applyFont="1" applyBorder="1"/>
    <xf numFmtId="0" fontId="5" fillId="0" borderId="22" xfId="0" applyFont="1" applyBorder="1"/>
    <xf numFmtId="166" fontId="2" fillId="0" borderId="22" xfId="1" applyNumberFormat="1" applyFont="1" applyFill="1" applyBorder="1" applyAlignment="1">
      <alignment vertical="center"/>
    </xf>
    <xf numFmtId="0" fontId="9" fillId="0" borderId="0" xfId="0" applyFont="1" applyBorder="1" applyAlignment="1">
      <alignment wrapText="1"/>
    </xf>
    <xf numFmtId="170" fontId="5" fillId="0" borderId="0" xfId="2" applyNumberFormat="1" applyFont="1" applyFill="1" applyBorder="1"/>
    <xf numFmtId="170" fontId="9" fillId="0" borderId="0" xfId="2" applyNumberFormat="1" applyFont="1" applyBorder="1"/>
    <xf numFmtId="0" fontId="5" fillId="0" borderId="0" xfId="0" applyFont="1" applyBorder="1"/>
    <xf numFmtId="0" fontId="4" fillId="0" borderId="1" xfId="0" applyFont="1" applyBorder="1" applyAlignment="1">
      <alignment horizontal="left" vertical="center"/>
    </xf>
    <xf numFmtId="0" fontId="10" fillId="0" borderId="0" xfId="0" applyFont="1" applyAlignment="1">
      <alignment horizontal="center"/>
    </xf>
    <xf numFmtId="0" fontId="0" fillId="0" borderId="24" xfId="0" applyBorder="1" applyAlignment="1">
      <alignment horizontal="center" wrapText="1"/>
    </xf>
    <xf numFmtId="171" fontId="9" fillId="0" borderId="0" xfId="5" applyNumberFormat="1" applyFont="1" applyBorder="1" applyAlignment="1">
      <alignment horizontal="left" wrapText="1"/>
    </xf>
    <xf numFmtId="0" fontId="5" fillId="0" borderId="2" xfId="0" applyFont="1" applyBorder="1" applyAlignment="1">
      <alignment horizontal="center"/>
    </xf>
    <xf numFmtId="0" fontId="5" fillId="0" borderId="3" xfId="0" applyFont="1" applyBorder="1" applyAlignment="1">
      <alignment horizont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9" fillId="0" borderId="0" xfId="0" applyFont="1"/>
    <xf numFmtId="0" fontId="0" fillId="0" borderId="0" xfId="0"/>
    <xf numFmtId="0" fontId="5" fillId="3" borderId="2" xfId="0" applyFont="1" applyFill="1" applyBorder="1" applyAlignment="1" applyProtection="1">
      <alignment horizontal="left" wrapText="1"/>
      <protection locked="0"/>
    </xf>
    <xf numFmtId="0" fontId="5" fillId="3" borderId="30" xfId="0" applyFont="1" applyFill="1" applyBorder="1" applyAlignment="1" applyProtection="1">
      <alignment horizontal="left" wrapText="1"/>
      <protection locked="0"/>
    </xf>
    <xf numFmtId="0" fontId="5" fillId="3" borderId="3" xfId="0" applyFont="1" applyFill="1" applyBorder="1" applyAlignment="1" applyProtection="1">
      <alignment horizontal="left" wrapText="1"/>
      <protection locked="0"/>
    </xf>
    <xf numFmtId="171" fontId="5" fillId="3" borderId="1" xfId="0" applyNumberFormat="1" applyFont="1" applyFill="1" applyBorder="1" applyAlignment="1" applyProtection="1">
      <alignment horizontal="center"/>
      <protection locked="0"/>
    </xf>
    <xf numFmtId="171" fontId="9" fillId="0" borderId="0" xfId="5" applyNumberFormat="1" applyFont="1" applyBorder="1" applyAlignment="1">
      <alignment horizontal="right" wrapText="1"/>
    </xf>
    <xf numFmtId="0" fontId="5" fillId="3" borderId="23" xfId="0" applyFont="1" applyFill="1" applyBorder="1" applyAlignment="1" applyProtection="1">
      <alignment horizontal="left"/>
      <protection locked="0"/>
    </xf>
    <xf numFmtId="0" fontId="5" fillId="3" borderId="24" xfId="0" applyFont="1" applyFill="1" applyBorder="1" applyAlignment="1" applyProtection="1">
      <alignment horizontal="left"/>
      <protection locked="0"/>
    </xf>
    <xf numFmtId="0" fontId="5" fillId="3" borderId="25" xfId="0" applyFont="1" applyFill="1" applyBorder="1" applyAlignment="1" applyProtection="1">
      <alignment horizontal="left"/>
      <protection locked="0"/>
    </xf>
    <xf numFmtId="0" fontId="5" fillId="3" borderId="26" xfId="0" applyFont="1" applyFill="1" applyBorder="1" applyAlignment="1" applyProtection="1">
      <alignment horizontal="left"/>
      <protection locked="0"/>
    </xf>
    <xf numFmtId="0" fontId="5" fillId="3" borderId="0" xfId="0" applyFont="1" applyFill="1" applyAlignment="1" applyProtection="1">
      <alignment horizontal="left"/>
      <protection locked="0"/>
    </xf>
    <xf numFmtId="0" fontId="5" fillId="3" borderId="27" xfId="0" applyFont="1" applyFill="1" applyBorder="1" applyAlignment="1" applyProtection="1">
      <alignment horizontal="left"/>
      <protection locked="0"/>
    </xf>
    <xf numFmtId="0" fontId="5" fillId="3" borderId="28" xfId="0" applyFont="1" applyFill="1" applyBorder="1" applyAlignment="1" applyProtection="1">
      <alignment horizontal="left"/>
      <protection locked="0"/>
    </xf>
    <xf numFmtId="0" fontId="5" fillId="3" borderId="6" xfId="0" applyFont="1" applyFill="1" applyBorder="1" applyAlignment="1" applyProtection="1">
      <alignment horizontal="left"/>
      <protection locked="0"/>
    </xf>
    <xf numFmtId="0" fontId="5" fillId="3" borderId="29" xfId="0" applyFont="1" applyFill="1" applyBorder="1" applyAlignment="1" applyProtection="1">
      <alignment horizontal="left"/>
      <protection locked="0"/>
    </xf>
    <xf numFmtId="0" fontId="4" fillId="0" borderId="1" xfId="0" applyFont="1" applyBorder="1" applyAlignment="1">
      <alignment horizontal="center"/>
    </xf>
    <xf numFmtId="0" fontId="4" fillId="0" borderId="1" xfId="0" applyFont="1" applyBorder="1" applyAlignment="1">
      <alignment horizontal="center" wrapText="1"/>
    </xf>
    <xf numFmtId="0" fontId="9" fillId="0" borderId="2" xfId="0" applyFont="1" applyBorder="1" applyAlignment="1">
      <alignment horizontal="center" wrapText="1"/>
    </xf>
    <xf numFmtId="0" fontId="9" fillId="0" borderId="30" xfId="0" applyFont="1" applyBorder="1" applyAlignment="1">
      <alignment horizontal="center" wrapText="1"/>
    </xf>
    <xf numFmtId="0" fontId="4" fillId="0" borderId="2" xfId="0" applyFont="1" applyBorder="1" applyAlignment="1">
      <alignment horizontal="center"/>
    </xf>
    <xf numFmtId="0" fontId="4" fillId="0" borderId="30" xfId="0" applyFont="1" applyBorder="1" applyAlignment="1">
      <alignment horizontal="center"/>
    </xf>
    <xf numFmtId="0" fontId="4" fillId="0" borderId="3" xfId="0" applyFont="1" applyBorder="1" applyAlignment="1">
      <alignment horizontal="center"/>
    </xf>
    <xf numFmtId="0" fontId="4" fillId="0" borderId="1" xfId="0" applyFont="1" applyBorder="1" applyAlignment="1">
      <alignment horizontal="center" vertical="center" wrapText="1"/>
    </xf>
    <xf numFmtId="0" fontId="5" fillId="3" borderId="1" xfId="0" applyFont="1" applyFill="1" applyBorder="1" applyAlignment="1" applyProtection="1">
      <alignment horizontal="left" wrapText="1"/>
      <protection locked="0"/>
    </xf>
    <xf numFmtId="0" fontId="9" fillId="0" borderId="5" xfId="0" applyFont="1" applyBorder="1" applyAlignment="1">
      <alignment horizontal="center" vertical="center"/>
    </xf>
    <xf numFmtId="0" fontId="9" fillId="0" borderId="0" xfId="0" applyFont="1" applyAlignment="1">
      <alignment horizontal="center" vertical="center"/>
    </xf>
    <xf numFmtId="171" fontId="5" fillId="3" borderId="1" xfId="0" applyNumberFormat="1" applyFont="1" applyFill="1" applyBorder="1" applyAlignment="1" applyProtection="1">
      <alignment horizontal="right"/>
      <protection locked="0"/>
    </xf>
    <xf numFmtId="171" fontId="5" fillId="3" borderId="1" xfId="0" applyNumberFormat="1" applyFont="1" applyFill="1" applyBorder="1" applyAlignment="1" applyProtection="1">
      <alignment horizontal="right" wrapText="1"/>
      <protection locked="0"/>
    </xf>
    <xf numFmtId="170" fontId="4" fillId="0" borderId="2" xfId="0" applyNumberFormat="1" applyFont="1" applyBorder="1" applyAlignment="1">
      <alignment horizontal="center"/>
    </xf>
  </cellXfs>
  <cellStyles count="6">
    <cellStyle name="Comma" xfId="1" builtinId="3"/>
    <cellStyle name="Currency" xfId="2" builtinId="4"/>
    <cellStyle name="Currency 2" xfId="5" xr:uid="{8719DDDA-DD76-47C9-9D87-279B6201F045}"/>
    <cellStyle name="Normal" xfId="0" builtinId="0"/>
    <cellStyle name="Percent" xfId="3" builtinId="5"/>
    <cellStyle name="Percent 2" xfId="4" xr:uid="{4C6FA655-C264-45ED-B1D4-0A1800A306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A9BE71CD-E307-4CE6-8D7A-51A7032BA07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9200320" cy="157162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6DEC0088-C69D-4ED2-92F5-06669BE14DA4}"/>
            </a:ext>
          </a:extLst>
        </xdr:cNvPr>
        <xdr:cNvSpPr/>
      </xdr:nvSpPr>
      <xdr:spPr>
        <a:xfrm>
          <a:off x="28575" y="755650"/>
          <a:ext cx="8963025" cy="71437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12340105-075C-4185-8BD8-076BC3982B70}"/>
            </a:ext>
          </a:extLst>
        </xdr:cNvPr>
        <xdr:cNvSpPr/>
      </xdr:nvSpPr>
      <xdr:spPr>
        <a:xfrm>
          <a:off x="638175" y="203200"/>
          <a:ext cx="4759481" cy="24460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BBBD73F3-1558-461E-A4C0-59D31599F5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2250"/>
          <a:ext cx="389282" cy="2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12C2609B-62C0-4AFF-8852-4B01E633384A}"/>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9063160" cy="156019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DB55465E-1E6D-4CDC-BE8B-7923DE954DBE}"/>
            </a:ext>
          </a:extLst>
        </xdr:cNvPr>
        <xdr:cNvSpPr/>
      </xdr:nvSpPr>
      <xdr:spPr>
        <a:xfrm>
          <a:off x="28575" y="750570"/>
          <a:ext cx="882586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2224D111-99A0-4733-AAEF-AAE64644526C}"/>
            </a:ext>
          </a:extLst>
        </xdr:cNvPr>
        <xdr:cNvSpPr/>
      </xdr:nvSpPr>
      <xdr:spPr>
        <a:xfrm>
          <a:off x="638175" y="201930"/>
          <a:ext cx="4687091" cy="24333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702F806C-9D30-44F9-B8F7-7A060D396CF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0980"/>
          <a:ext cx="389282" cy="287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4B38412A-9027-4ACB-B822-AF1AD5E1379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9063160" cy="156019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75758B7A-D8AD-4EA0-92F0-E2AFAFEF3A40}"/>
            </a:ext>
          </a:extLst>
        </xdr:cNvPr>
        <xdr:cNvSpPr/>
      </xdr:nvSpPr>
      <xdr:spPr>
        <a:xfrm>
          <a:off x="28575" y="750570"/>
          <a:ext cx="882586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7D967158-8960-4858-8A60-9421911BA5C4}"/>
            </a:ext>
          </a:extLst>
        </xdr:cNvPr>
        <xdr:cNvSpPr/>
      </xdr:nvSpPr>
      <xdr:spPr>
        <a:xfrm>
          <a:off x="638175" y="201930"/>
          <a:ext cx="4687091" cy="24333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76D5AFD3-25F3-42C8-AF00-B275FEFAB9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0980"/>
          <a:ext cx="389282" cy="287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6" name="Picture 5">
          <a:extLst>
            <a:ext uri="{FF2B5EF4-FFF2-40B4-BE49-F238E27FC236}">
              <a16:creationId xmlns:a16="http://schemas.microsoft.com/office/drawing/2014/main" id="{827AC2BD-8560-40FF-97B3-A60519131C3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9215137" cy="153352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7" name="Rectangle 6">
          <a:extLst>
            <a:ext uri="{FF2B5EF4-FFF2-40B4-BE49-F238E27FC236}">
              <a16:creationId xmlns:a16="http://schemas.microsoft.com/office/drawing/2014/main" id="{925FD9E3-C58E-474C-B38A-EF97491B5C53}"/>
            </a:ext>
          </a:extLst>
        </xdr:cNvPr>
        <xdr:cNvSpPr/>
      </xdr:nvSpPr>
      <xdr:spPr>
        <a:xfrm>
          <a:off x="28575" y="781050"/>
          <a:ext cx="8610600"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8" name="Rectangle 7">
          <a:extLst>
            <a:ext uri="{FF2B5EF4-FFF2-40B4-BE49-F238E27FC236}">
              <a16:creationId xmlns:a16="http://schemas.microsoft.com/office/drawing/2014/main" id="{3D05FCC7-4281-477D-9F63-31E6959B9CC3}"/>
            </a:ext>
          </a:extLst>
        </xdr:cNvPr>
        <xdr:cNvSpPr/>
      </xdr:nvSpPr>
      <xdr:spPr>
        <a:xfrm>
          <a:off x="638175" y="209550"/>
          <a:ext cx="45689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9" name="Picture 8">
          <a:extLst>
            <a:ext uri="{FF2B5EF4-FFF2-40B4-BE49-F238E27FC236}">
              <a16:creationId xmlns:a16="http://schemas.microsoft.com/office/drawing/2014/main" id="{D84A33F0-7BB3-4780-80C4-DE827896217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RRR%20Reporting/RRR%20Revisions/2.1.5.4%20Demand%20and%20Revenue/2018/2018%20IESO%20Balancing%20-%20Total%20Consumption%20WMS%20w%20RTLRID%20new%20RRR%20Jan%202021%20I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RRR%20Reporting/RRR%20Revisions/2.1.5.4%20Demand%20and%20Revenue/2019/2019%20IESO%20Balancing%20-%20Total%20Consumption%20WMS%20w%20RTLRID%20new%20RRR%20Jan%202021%20IR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E/Rate%20Submission/2021%20Filing/2.%20Interrogatories/Copy%20of%202021_GA_Analysis_Workform_20210114%20sp.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ANCE/Rate%20Submission/2021%20Filing/2.%20Interrogatories/2021_GA_Analysis_Workform_202101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sheetName val="RPP non-RPP"/>
      <sheetName val="Mapping Table"/>
    </sheetNames>
    <sheetDataSet>
      <sheetData sheetId="0" refreshError="1"/>
      <sheetData sheetId="1">
        <row r="98">
          <cell r="C98">
            <v>48533363.034061633</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heetName val="RPP non-RPP"/>
      <sheetName val="Mapping Table"/>
    </sheetNames>
    <sheetDataSet>
      <sheetData sheetId="0" refreshError="1"/>
      <sheetData sheetId="1">
        <row r="100">
          <cell r="C100">
            <v>54676133.899437077</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List"/>
      <sheetName val="GA Analysis "/>
      <sheetName val="GA 2015"/>
      <sheetName val="GA 2016"/>
      <sheetName val="GA 2017"/>
      <sheetName val="GA 2018"/>
      <sheetName val="GA 2019"/>
      <sheetName val="Principal Adjustments"/>
      <sheetName val="GA Rates"/>
      <sheetName val="RRR_2017"/>
      <sheetName val="RRR_2018"/>
      <sheetName val="RRR_2019"/>
    </sheetNames>
    <sheetDataSet>
      <sheetData sheetId="0"/>
      <sheetData sheetId="1"/>
      <sheetData sheetId="2"/>
      <sheetData sheetId="3"/>
      <sheetData sheetId="4"/>
      <sheetData sheetId="5"/>
      <sheetData sheetId="6"/>
      <sheetData sheetId="7"/>
      <sheetData sheetId="8"/>
      <sheetData sheetId="9">
        <row r="4">
          <cell r="F4">
            <v>8.7770000000000001E-2</v>
          </cell>
          <cell r="G4">
            <v>6.3700000000000007E-2</v>
          </cell>
          <cell r="H4">
            <v>6.7360000000000003E-2</v>
          </cell>
          <cell r="J4">
            <v>6.6869999999999999E-2</v>
          </cell>
          <cell r="K4">
            <v>8.677E-2</v>
          </cell>
          <cell r="L4">
            <v>8.2269999999999996E-2</v>
          </cell>
        </row>
        <row r="5">
          <cell r="F5">
            <v>7.3329999999999992E-2</v>
          </cell>
          <cell r="G5">
            <v>7.7049999999999993E-2</v>
          </cell>
          <cell r="H5">
            <v>8.1670000000000006E-2</v>
          </cell>
          <cell r="J5">
            <v>0.10559</v>
          </cell>
          <cell r="K5">
            <v>8.43E-2</v>
          </cell>
          <cell r="L5">
            <v>8.6389999999999995E-2</v>
          </cell>
        </row>
        <row r="6">
          <cell r="F6">
            <v>7.8769999999999993E-2</v>
          </cell>
          <cell r="G6">
            <v>8.5949999999999999E-2</v>
          </cell>
          <cell r="H6">
            <v>9.4810000000000005E-2</v>
          </cell>
          <cell r="J6">
            <v>8.4089999999999998E-2</v>
          </cell>
          <cell r="K6">
            <v>6.8860000000000005E-2</v>
          </cell>
          <cell r="L6">
            <v>7.1349999999999997E-2</v>
          </cell>
        </row>
        <row r="7">
          <cell r="F7">
            <v>9.8099999999999993E-2</v>
          </cell>
          <cell r="G7">
            <v>0.10074</v>
          </cell>
          <cell r="H7">
            <v>9.9589999999999998E-2</v>
          </cell>
          <cell r="J7">
            <v>6.8739999999999996E-2</v>
          </cell>
          <cell r="K7">
            <v>0.10218000000000001</v>
          </cell>
          <cell r="L7">
            <v>0.10778</v>
          </cell>
        </row>
        <row r="8">
          <cell r="F8">
            <v>9.3920000000000003E-2</v>
          </cell>
          <cell r="G8">
            <v>0.13199</v>
          </cell>
          <cell r="H8">
            <v>0.10793000000000001</v>
          </cell>
          <cell r="J8">
            <v>0.10623</v>
          </cell>
          <cell r="K8">
            <v>0.12776000000000001</v>
          </cell>
          <cell r="L8">
            <v>0.12307</v>
          </cell>
        </row>
        <row r="9">
          <cell r="F9">
            <v>0.13336000000000001</v>
          </cell>
          <cell r="G9">
            <v>0.10238999999999999</v>
          </cell>
          <cell r="H9">
            <v>0.11896</v>
          </cell>
          <cell r="J9">
            <v>0.11954000000000001</v>
          </cell>
          <cell r="K9">
            <v>0.12562999999999999</v>
          </cell>
          <cell r="L9">
            <v>0.11848</v>
          </cell>
        </row>
        <row r="10">
          <cell r="F10">
            <v>8.5019999999999998E-2</v>
          </cell>
          <cell r="G10">
            <v>8.1230000000000011E-2</v>
          </cell>
          <cell r="H10">
            <v>7.7370000000000008E-2</v>
          </cell>
          <cell r="J10">
            <v>0.10651999999999999</v>
          </cell>
          <cell r="K10">
            <v>0.10197000000000001</v>
          </cell>
          <cell r="L10">
            <v>0.1128</v>
          </cell>
        </row>
        <row r="11">
          <cell r="F11">
            <v>7.7900000000000011E-2</v>
          </cell>
          <cell r="G11">
            <v>7.324E-2</v>
          </cell>
          <cell r="H11">
            <v>7.4900000000000008E-2</v>
          </cell>
          <cell r="J11">
            <v>0.115</v>
          </cell>
          <cell r="K11">
            <v>0.10476000000000001</v>
          </cell>
          <cell r="L11">
            <v>0.10109</v>
          </cell>
        </row>
        <row r="12">
          <cell r="F12">
            <v>8.4239999999999995E-2</v>
          </cell>
          <cell r="G12">
            <v>8.6599999999999996E-2</v>
          </cell>
          <cell r="H12">
            <v>8.584E-2</v>
          </cell>
          <cell r="J12">
            <v>0.12739</v>
          </cell>
          <cell r="K12">
            <v>9.8949999999999996E-2</v>
          </cell>
          <cell r="L12">
            <v>8.8639999999999997E-2</v>
          </cell>
        </row>
        <row r="13">
          <cell r="F13">
            <v>8.9209999999999998E-2</v>
          </cell>
          <cell r="G13">
            <v>0.11998</v>
          </cell>
          <cell r="H13">
            <v>0.12059</v>
          </cell>
          <cell r="J13">
            <v>0.10212</v>
          </cell>
          <cell r="K13">
            <v>0.11973</v>
          </cell>
          <cell r="L13">
            <v>0.12562999999999999</v>
          </cell>
        </row>
        <row r="14">
          <cell r="F14">
            <v>0.12235</v>
          </cell>
          <cell r="G14">
            <v>0.10540000000000001</v>
          </cell>
          <cell r="H14">
            <v>9.8549999999999999E-2</v>
          </cell>
          <cell r="J14">
            <v>0.11164</v>
          </cell>
          <cell r="K14">
            <v>9.6689999999999998E-2</v>
          </cell>
          <cell r="L14">
            <v>9.7040000000000001E-2</v>
          </cell>
        </row>
        <row r="15">
          <cell r="F15">
            <v>9.1980000000000006E-2</v>
          </cell>
          <cell r="G15">
            <v>7.0669999999999997E-2</v>
          </cell>
          <cell r="H15">
            <v>7.4040000000000009E-2</v>
          </cell>
          <cell r="J15">
            <v>8.3909999999999998E-2</v>
          </cell>
          <cell r="K15">
            <v>9.6689999999999998E-2</v>
          </cell>
          <cell r="L15">
            <v>9.2069999999999999E-2</v>
          </cell>
        </row>
      </sheetData>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List"/>
      <sheetName val="GA Analysis "/>
      <sheetName val="GA 2015"/>
      <sheetName val="GA 2016"/>
      <sheetName val="GA 2017"/>
      <sheetName val="GA 2018"/>
      <sheetName val="GA 2019"/>
      <sheetName val="Principal Adjustments"/>
      <sheetName val="GA Rates"/>
      <sheetName val="RRR_2017"/>
      <sheetName val="RRR_2018"/>
      <sheetName val="RRR_2019"/>
    </sheetNames>
    <sheetDataSet>
      <sheetData sheetId="0"/>
      <sheetData sheetId="1"/>
      <sheetData sheetId="2"/>
      <sheetData sheetId="3"/>
      <sheetData sheetId="4"/>
      <sheetData sheetId="5"/>
      <sheetData sheetId="6"/>
      <sheetData sheetId="7"/>
      <sheetData sheetId="8"/>
      <sheetData sheetId="9">
        <row r="4">
          <cell r="B4">
            <v>6.7409999999999998E-2</v>
          </cell>
          <cell r="C4">
            <v>8.3060000000000009E-2</v>
          </cell>
          <cell r="D4">
            <v>8.0920000000000006E-2</v>
          </cell>
        </row>
        <row r="5">
          <cell r="B5">
            <v>9.6569999999999989E-2</v>
          </cell>
          <cell r="C5">
            <v>8.2360000000000003E-2</v>
          </cell>
          <cell r="D5">
            <v>8.8120000000000004E-2</v>
          </cell>
        </row>
        <row r="6">
          <cell r="B6">
            <v>8.1049999999999997E-2</v>
          </cell>
          <cell r="C6">
            <v>7.5749999999999998E-2</v>
          </cell>
          <cell r="D6">
            <v>8.0409999999999995E-2</v>
          </cell>
        </row>
        <row r="7">
          <cell r="B7">
            <v>8.1290000000000001E-2</v>
          </cell>
          <cell r="C7">
            <v>0.12487999999999999</v>
          </cell>
          <cell r="D7">
            <v>0.12333</v>
          </cell>
        </row>
        <row r="8">
          <cell r="B8">
            <v>0.12859999999999999</v>
          </cell>
          <cell r="C8">
            <v>0.13049000000000002</v>
          </cell>
          <cell r="D8">
            <v>0.12604000000000001</v>
          </cell>
        </row>
        <row r="9">
          <cell r="B9">
            <v>0.12444</v>
          </cell>
          <cell r="C9">
            <v>0.14771999999999999</v>
          </cell>
          <cell r="D9">
            <v>0.13728000000000001</v>
          </cell>
        </row>
        <row r="10">
          <cell r="B10">
            <v>0.13527</v>
          </cell>
          <cell r="C10">
            <v>8.8540000000000008E-2</v>
          </cell>
          <cell r="D10">
            <v>9.6450000000000008E-2</v>
          </cell>
        </row>
        <row r="11">
          <cell r="B11">
            <v>7.2109999999999994E-2</v>
          </cell>
          <cell r="C11">
            <v>0.10973999999999999</v>
          </cell>
          <cell r="D11">
            <v>0.12606999999999999</v>
          </cell>
        </row>
        <row r="12">
          <cell r="B12">
            <v>0.12934000000000001</v>
          </cell>
          <cell r="C12">
            <v>0.16391999999999998</v>
          </cell>
          <cell r="D12">
            <v>0.12262999999999999</v>
          </cell>
        </row>
        <row r="13">
          <cell r="B13">
            <v>0.17877999999999999</v>
          </cell>
          <cell r="C13">
            <v>0.11885999999999999</v>
          </cell>
          <cell r="D13">
            <v>0.1368</v>
          </cell>
        </row>
        <row r="14">
          <cell r="B14">
            <v>0.10726999999999999</v>
          </cell>
          <cell r="C14">
            <v>0.10109</v>
          </cell>
          <cell r="D14">
            <v>9.9530000000000007E-2</v>
          </cell>
        </row>
        <row r="15">
          <cell r="B15">
            <v>8.5690000000000002E-2</v>
          </cell>
          <cell r="C15">
            <v>9.0659999999999991E-2</v>
          </cell>
          <cell r="D15">
            <v>9.3209999999999987E-2</v>
          </cell>
        </row>
      </sheetData>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D77AF-4315-456E-9490-E9CBB482F9BE}">
  <dimension ref="A1:Q41"/>
  <sheetViews>
    <sheetView zoomScale="80" zoomScaleNormal="80" workbookViewId="0">
      <selection activeCell="E11" sqref="E11"/>
    </sheetView>
  </sheetViews>
  <sheetFormatPr defaultColWidth="9" defaultRowHeight="15" x14ac:dyDescent="0.25"/>
  <cols>
    <col min="1" max="1" width="10.42578125" style="103" customWidth="1"/>
    <col min="2" max="2" width="53.85546875" style="103" customWidth="1"/>
    <col min="3" max="3" width="28" style="103" customWidth="1"/>
    <col min="4" max="4" width="23" style="103" customWidth="1"/>
    <col min="5" max="5" width="19" style="103" customWidth="1"/>
    <col min="6" max="6" width="24.42578125" style="103" customWidth="1"/>
    <col min="7" max="9" width="20.5703125" style="103" customWidth="1"/>
    <col min="10" max="10" width="10.5703125" style="103" customWidth="1"/>
    <col min="11" max="11" width="10.42578125" style="103" customWidth="1"/>
    <col min="12" max="12" width="11.85546875" style="103" customWidth="1"/>
    <col min="13" max="13" width="10.5703125" style="103" customWidth="1"/>
    <col min="14" max="14" width="10.42578125" style="103" customWidth="1"/>
    <col min="15" max="16" width="10.5703125" style="103" customWidth="1"/>
    <col min="17" max="17" width="11" style="103" customWidth="1"/>
    <col min="18" max="18" width="13" style="103" customWidth="1"/>
    <col min="19" max="19" width="10.85546875" style="103" customWidth="1"/>
    <col min="20" max="20" width="11.42578125" style="103" customWidth="1"/>
    <col min="21" max="16384" width="9" style="103"/>
  </cols>
  <sheetData>
    <row r="1" spans="1:17" ht="38.25" customHeight="1" x14ac:dyDescent="0.25">
      <c r="B1" s="130" t="s">
        <v>106</v>
      </c>
      <c r="C1" s="130"/>
      <c r="D1" s="130"/>
      <c r="E1" s="130"/>
      <c r="F1" s="130"/>
    </row>
    <row r="2" spans="1:17" s="4" customFormat="1" x14ac:dyDescent="0.2">
      <c r="A2" s="1"/>
      <c r="B2" s="2"/>
      <c r="C2" s="3"/>
      <c r="D2" s="3"/>
      <c r="E2" s="3"/>
      <c r="F2" s="3"/>
      <c r="G2" s="1"/>
      <c r="H2" s="1"/>
      <c r="I2" s="1"/>
      <c r="J2" s="1"/>
      <c r="K2" s="1"/>
      <c r="L2" s="1"/>
      <c r="M2" s="1"/>
      <c r="N2" s="1"/>
      <c r="O2" s="1"/>
      <c r="P2" s="1"/>
      <c r="Q2" s="1"/>
    </row>
    <row r="3" spans="1:17" s="4" customFormat="1" x14ac:dyDescent="0.2">
      <c r="A3" s="1"/>
      <c r="B3" s="129" t="s">
        <v>2</v>
      </c>
      <c r="C3" s="129"/>
      <c r="D3" s="5">
        <f>+E3</f>
        <v>2017</v>
      </c>
      <c r="E3" s="5">
        <v>2017</v>
      </c>
      <c r="F3" s="5">
        <f>+D3</f>
        <v>2017</v>
      </c>
      <c r="G3" s="1"/>
      <c r="H3" s="1"/>
      <c r="I3" s="1"/>
      <c r="J3" s="1"/>
      <c r="K3" s="1"/>
      <c r="L3" s="1"/>
      <c r="M3" s="1"/>
      <c r="N3" s="1"/>
      <c r="O3" s="1"/>
      <c r="P3" s="1"/>
      <c r="Q3" s="1"/>
    </row>
    <row r="4" spans="1:17" s="4" customFormat="1" x14ac:dyDescent="0.2">
      <c r="A4" s="1"/>
      <c r="B4" s="2" t="s">
        <v>104</v>
      </c>
      <c r="C4" s="102"/>
      <c r="D4" s="106" t="s">
        <v>99</v>
      </c>
      <c r="E4" s="106" t="s">
        <v>98</v>
      </c>
      <c r="F4" s="106" t="s">
        <v>58</v>
      </c>
      <c r="G4" s="1"/>
      <c r="H4" s="1"/>
      <c r="I4" s="1"/>
      <c r="J4" s="1"/>
      <c r="K4" s="1"/>
      <c r="L4" s="1"/>
      <c r="M4" s="1"/>
      <c r="N4" s="1"/>
      <c r="O4" s="1"/>
      <c r="P4" s="1"/>
      <c r="Q4" s="1"/>
    </row>
    <row r="5" spans="1:17" s="4" customFormat="1" thickBot="1" x14ac:dyDescent="0.25">
      <c r="A5" s="1"/>
      <c r="B5" s="6" t="s">
        <v>3</v>
      </c>
      <c r="C5" s="6" t="s">
        <v>4</v>
      </c>
      <c r="D5" s="7">
        <v>241651142</v>
      </c>
      <c r="E5" s="7">
        <f>+E7+E6</f>
        <v>206806158</v>
      </c>
      <c r="F5" s="7">
        <f>+D5-E5</f>
        <v>34844984</v>
      </c>
      <c r="G5" s="107"/>
      <c r="H5" s="107"/>
      <c r="I5" s="107"/>
      <c r="J5" s="1"/>
      <c r="K5" s="1"/>
      <c r="L5" s="1"/>
      <c r="M5" s="1"/>
      <c r="N5" s="1"/>
      <c r="O5" s="1"/>
      <c r="P5" s="1"/>
      <c r="Q5" s="1"/>
    </row>
    <row r="6" spans="1:17" s="4" customFormat="1" thickBot="1" x14ac:dyDescent="0.25">
      <c r="B6" s="6" t="s">
        <v>6</v>
      </c>
      <c r="C6" s="6" t="s">
        <v>7</v>
      </c>
      <c r="D6" s="7">
        <v>118904271</v>
      </c>
      <c r="E6" s="7">
        <v>117466613</v>
      </c>
      <c r="F6" s="7">
        <f t="shared" ref="F6:F10" si="0">+D6-E6</f>
        <v>1437658</v>
      </c>
      <c r="G6" s="107"/>
      <c r="H6" s="107"/>
      <c r="I6" s="107"/>
    </row>
    <row r="7" spans="1:17" s="4" customFormat="1" thickBot="1" x14ac:dyDescent="0.25">
      <c r="B7" s="6" t="s">
        <v>8</v>
      </c>
      <c r="C7" s="6" t="s">
        <v>9</v>
      </c>
      <c r="D7" s="7">
        <v>122746871</v>
      </c>
      <c r="E7" s="7">
        <f>E8+E9</f>
        <v>89339545</v>
      </c>
      <c r="F7" s="7">
        <f t="shared" si="0"/>
        <v>33407326</v>
      </c>
    </row>
    <row r="8" spans="1:17" s="4" customFormat="1" thickBot="1" x14ac:dyDescent="0.25">
      <c r="B8" s="6" t="s">
        <v>10</v>
      </c>
      <c r="C8" s="6" t="s">
        <v>11</v>
      </c>
      <c r="D8" s="7">
        <v>22177196.651082911</v>
      </c>
      <c r="E8" s="7">
        <v>23243911</v>
      </c>
      <c r="F8" s="7">
        <f t="shared" si="0"/>
        <v>-1066714.3489170894</v>
      </c>
    </row>
    <row r="9" spans="1:17" s="4" customFormat="1" thickBot="1" x14ac:dyDescent="0.25">
      <c r="B9" s="6" t="s">
        <v>12</v>
      </c>
      <c r="C9" s="6" t="s">
        <v>13</v>
      </c>
      <c r="D9" s="7">
        <v>100569674.3489171</v>
      </c>
      <c r="E9" s="7">
        <v>66095634</v>
      </c>
      <c r="F9" s="7">
        <f t="shared" si="0"/>
        <v>34474040.348917097</v>
      </c>
      <c r="G9" s="109"/>
      <c r="H9" s="107"/>
      <c r="I9" s="107"/>
    </row>
    <row r="10" spans="1:17" s="4" customFormat="1" thickBot="1" x14ac:dyDescent="0.25">
      <c r="B10" s="6" t="s">
        <v>100</v>
      </c>
      <c r="C10" s="6"/>
      <c r="D10" s="108">
        <f>+'2017_Class A 6 months'!C53/D9</f>
        <v>1.0454791616150794</v>
      </c>
      <c r="E10" s="108">
        <v>1.7597</v>
      </c>
      <c r="F10" s="108">
        <f t="shared" si="0"/>
        <v>-0.71422083838492068</v>
      </c>
      <c r="G10" s="109"/>
      <c r="H10" s="107"/>
      <c r="I10" s="107"/>
    </row>
    <row r="11" spans="1:17" s="4" customFormat="1" x14ac:dyDescent="0.25">
      <c r="C11" s="120"/>
      <c r="D11" s="121"/>
      <c r="E11" s="118" t="s">
        <v>105</v>
      </c>
      <c r="G11" s="110"/>
    </row>
    <row r="12" spans="1:17" x14ac:dyDescent="0.25">
      <c r="D12" s="119"/>
      <c r="G12" s="111"/>
    </row>
    <row r="13" spans="1:17" s="4" customFormat="1" x14ac:dyDescent="0.2">
      <c r="A13" s="1"/>
      <c r="B13" s="2" t="s">
        <v>103</v>
      </c>
      <c r="C13" s="3"/>
      <c r="D13" s="3"/>
      <c r="E13" s="3"/>
      <c r="F13" s="3"/>
      <c r="G13" s="1"/>
      <c r="H13" s="1"/>
      <c r="I13" s="1"/>
      <c r="J13" s="1"/>
      <c r="K13" s="1"/>
      <c r="L13" s="1"/>
      <c r="M13" s="1"/>
      <c r="N13" s="1"/>
      <c r="O13" s="1"/>
      <c r="P13" s="1"/>
      <c r="Q13" s="1"/>
    </row>
    <row r="14" spans="1:17" s="4" customFormat="1" x14ac:dyDescent="0.2">
      <c r="A14" s="1"/>
      <c r="B14" s="129" t="s">
        <v>2</v>
      </c>
      <c r="C14" s="129"/>
      <c r="D14" s="5">
        <f>+E14</f>
        <v>2017</v>
      </c>
      <c r="E14" s="5">
        <v>2017</v>
      </c>
      <c r="F14" s="5">
        <f>+D14</f>
        <v>2017</v>
      </c>
      <c r="G14" s="1"/>
      <c r="H14" s="1"/>
      <c r="I14" s="1"/>
      <c r="J14" s="1"/>
      <c r="K14" s="1"/>
      <c r="L14" s="1"/>
      <c r="M14" s="1"/>
      <c r="N14" s="1"/>
      <c r="O14" s="1"/>
      <c r="P14" s="1"/>
      <c r="Q14" s="1"/>
    </row>
    <row r="15" spans="1:17" s="4" customFormat="1" x14ac:dyDescent="0.2">
      <c r="A15" s="1"/>
      <c r="B15" s="113"/>
      <c r="C15" s="113"/>
      <c r="D15" s="106" t="s">
        <v>101</v>
      </c>
      <c r="E15" s="106" t="s">
        <v>98</v>
      </c>
      <c r="F15" s="106" t="s">
        <v>58</v>
      </c>
      <c r="G15" s="1"/>
      <c r="H15" s="1"/>
      <c r="I15" s="1"/>
      <c r="J15" s="1"/>
      <c r="K15" s="1"/>
      <c r="L15" s="1"/>
      <c r="M15" s="1"/>
      <c r="N15" s="1"/>
      <c r="O15" s="1"/>
      <c r="P15" s="1"/>
      <c r="Q15" s="1"/>
    </row>
    <row r="16" spans="1:17" s="4" customFormat="1" thickBot="1" x14ac:dyDescent="0.25">
      <c r="A16" s="1"/>
      <c r="B16" s="6" t="s">
        <v>3</v>
      </c>
      <c r="C16" s="6" t="s">
        <v>4</v>
      </c>
      <c r="D16" s="7">
        <v>241651142</v>
      </c>
      <c r="E16" s="7">
        <f>+E18+E17</f>
        <v>206806158</v>
      </c>
      <c r="F16" s="7">
        <f>+D16-E16</f>
        <v>34844984</v>
      </c>
      <c r="G16" s="107"/>
      <c r="H16" s="107"/>
      <c r="I16" s="107"/>
      <c r="J16" s="1"/>
      <c r="K16" s="1"/>
      <c r="L16" s="1"/>
      <c r="M16" s="1"/>
      <c r="N16" s="1"/>
      <c r="O16" s="1"/>
      <c r="P16" s="1"/>
      <c r="Q16" s="1"/>
    </row>
    <row r="17" spans="1:17" s="4" customFormat="1" thickBot="1" x14ac:dyDescent="0.25">
      <c r="B17" s="6" t="s">
        <v>6</v>
      </c>
      <c r="C17" s="6" t="s">
        <v>7</v>
      </c>
      <c r="D17" s="7">
        <v>118904271</v>
      </c>
      <c r="E17" s="7">
        <v>117466613</v>
      </c>
      <c r="F17" s="7">
        <f t="shared" ref="F17:F21" si="1">+D17-E17</f>
        <v>1437658</v>
      </c>
      <c r="G17" s="107"/>
      <c r="H17" s="107"/>
      <c r="I17" s="107"/>
    </row>
    <row r="18" spans="1:17" s="4" customFormat="1" thickBot="1" x14ac:dyDescent="0.25">
      <c r="B18" s="6" t="s">
        <v>8</v>
      </c>
      <c r="C18" s="6" t="s">
        <v>9</v>
      </c>
      <c r="D18" s="7">
        <v>122746871</v>
      </c>
      <c r="E18" s="7">
        <f>E19+E20</f>
        <v>89339545</v>
      </c>
      <c r="F18" s="7">
        <f t="shared" si="1"/>
        <v>33407326</v>
      </c>
    </row>
    <row r="19" spans="1:17" s="4" customFormat="1" thickBot="1" x14ac:dyDescent="0.25">
      <c r="B19" s="6" t="s">
        <v>10</v>
      </c>
      <c r="C19" s="6" t="s">
        <v>11</v>
      </c>
      <c r="D19" s="7">
        <f>14883672/1.0481</f>
        <v>14200622.078045988</v>
      </c>
      <c r="E19" s="7">
        <v>23243911</v>
      </c>
      <c r="F19" s="7">
        <f t="shared" si="1"/>
        <v>-9043288.9219540115</v>
      </c>
    </row>
    <row r="20" spans="1:17" s="4" customFormat="1" thickBot="1" x14ac:dyDescent="0.25">
      <c r="B20" s="6" t="s">
        <v>12</v>
      </c>
      <c r="C20" s="6" t="s">
        <v>13</v>
      </c>
      <c r="D20" s="7">
        <f>D18-D19</f>
        <v>108546248.92195401</v>
      </c>
      <c r="E20" s="7">
        <v>66095634</v>
      </c>
      <c r="F20" s="7">
        <f t="shared" si="1"/>
        <v>42450614.921954006</v>
      </c>
      <c r="G20" s="109"/>
      <c r="H20" s="107"/>
      <c r="I20" s="107"/>
    </row>
    <row r="21" spans="1:17" s="4" customFormat="1" thickBot="1" x14ac:dyDescent="0.25">
      <c r="B21" s="6" t="s">
        <v>100</v>
      </c>
      <c r="C21" s="6"/>
      <c r="D21" s="108">
        <f>+'2017_class A 4 months'!F53/D20</f>
        <v>1.045671680131645</v>
      </c>
      <c r="E21" s="108">
        <v>1.7597</v>
      </c>
      <c r="F21" s="108">
        <f t="shared" si="1"/>
        <v>-0.71402831986835502</v>
      </c>
      <c r="G21" s="109"/>
      <c r="H21" s="107"/>
      <c r="I21" s="107"/>
    </row>
    <row r="22" spans="1:17" s="4" customFormat="1" ht="75" customHeight="1" x14ac:dyDescent="0.25">
      <c r="D22" s="122"/>
      <c r="E22" s="131" t="s">
        <v>105</v>
      </c>
      <c r="F22" s="131"/>
      <c r="G22" s="110"/>
    </row>
    <row r="23" spans="1:17" s="4" customFormat="1" ht="14.25" x14ac:dyDescent="0.2">
      <c r="D23" s="124"/>
      <c r="E23" s="123"/>
      <c r="G23" s="110"/>
    </row>
    <row r="24" spans="1:17" s="4" customFormat="1" x14ac:dyDescent="0.2">
      <c r="A24" s="1"/>
      <c r="B24" s="129" t="s">
        <v>2</v>
      </c>
      <c r="C24" s="129"/>
      <c r="D24" s="5">
        <v>2018</v>
      </c>
      <c r="E24" s="5">
        <f>+D24</f>
        <v>2018</v>
      </c>
      <c r="F24" s="5">
        <f>+D24</f>
        <v>2018</v>
      </c>
      <c r="G24" s="112"/>
      <c r="H24" s="1"/>
      <c r="I24" s="1"/>
      <c r="J24" s="1"/>
      <c r="K24" s="1"/>
      <c r="L24" s="1"/>
      <c r="M24" s="1"/>
      <c r="N24" s="1"/>
      <c r="O24" s="1"/>
      <c r="P24" s="1"/>
      <c r="Q24" s="1"/>
    </row>
    <row r="25" spans="1:17" s="4" customFormat="1" x14ac:dyDescent="0.2">
      <c r="A25" s="1"/>
      <c r="B25" s="102"/>
      <c r="C25" s="102"/>
      <c r="D25" s="106" t="s">
        <v>99</v>
      </c>
      <c r="E25" s="106" t="s">
        <v>98</v>
      </c>
      <c r="F25" s="106" t="s">
        <v>58</v>
      </c>
      <c r="G25" s="112"/>
      <c r="H25" s="1"/>
      <c r="I25" s="1"/>
      <c r="J25" s="1"/>
      <c r="K25" s="1"/>
      <c r="L25" s="1"/>
      <c r="M25" s="1"/>
      <c r="N25" s="1"/>
      <c r="O25" s="1"/>
      <c r="P25" s="1"/>
      <c r="Q25" s="1"/>
    </row>
    <row r="26" spans="1:17" s="4" customFormat="1" thickBot="1" x14ac:dyDescent="0.25">
      <c r="A26" s="1"/>
      <c r="B26" s="6" t="s">
        <v>3</v>
      </c>
      <c r="C26" s="6" t="s">
        <v>4</v>
      </c>
      <c r="D26" s="7">
        <f>+D28+D27</f>
        <v>253873308</v>
      </c>
      <c r="E26" s="7">
        <f>+E28+E27</f>
        <v>216699305</v>
      </c>
      <c r="F26" s="7">
        <f>+D26-E26</f>
        <v>37174003</v>
      </c>
      <c r="G26" s="109"/>
      <c r="H26" s="107"/>
      <c r="I26" s="107"/>
      <c r="J26" s="1"/>
      <c r="K26" s="1"/>
      <c r="L26" s="1"/>
      <c r="M26" s="1"/>
      <c r="N26" s="1"/>
      <c r="O26" s="1"/>
      <c r="P26" s="1"/>
      <c r="Q26" s="1"/>
    </row>
    <row r="27" spans="1:17" s="4" customFormat="1" thickBot="1" x14ac:dyDescent="0.25">
      <c r="B27" s="6" t="s">
        <v>6</v>
      </c>
      <c r="C27" s="6" t="s">
        <v>7</v>
      </c>
      <c r="D27" s="7">
        <v>128799346</v>
      </c>
      <c r="E27" s="7">
        <v>129637292</v>
      </c>
      <c r="F27" s="7">
        <f t="shared" ref="F27:F31" si="2">+D27-E27</f>
        <v>-837946</v>
      </c>
      <c r="G27" s="109"/>
      <c r="H27" s="107"/>
      <c r="I27" s="107"/>
    </row>
    <row r="28" spans="1:17" s="4" customFormat="1" thickBot="1" x14ac:dyDescent="0.25">
      <c r="B28" s="6" t="s">
        <v>8</v>
      </c>
      <c r="C28" s="6" t="s">
        <v>9</v>
      </c>
      <c r="D28" s="7">
        <f>D29+D30</f>
        <v>125073962</v>
      </c>
      <c r="E28" s="7">
        <f>E29+E30</f>
        <v>87062013</v>
      </c>
      <c r="F28" s="7">
        <f t="shared" si="2"/>
        <v>38011949</v>
      </c>
      <c r="G28" s="110"/>
    </row>
    <row r="29" spans="1:17" s="4" customFormat="1" thickBot="1" x14ac:dyDescent="0.25">
      <c r="B29" s="6" t="s">
        <v>10</v>
      </c>
      <c r="C29" s="6" t="s">
        <v>11</v>
      </c>
      <c r="D29" s="7">
        <f>'[1]RPP non-RPP'!$C$98</f>
        <v>48533363.034061633</v>
      </c>
      <c r="E29" s="7">
        <v>39164593</v>
      </c>
      <c r="F29" s="7">
        <f t="shared" si="2"/>
        <v>9368770.0340616331</v>
      </c>
      <c r="G29" s="110"/>
    </row>
    <row r="30" spans="1:17" s="4" customFormat="1" thickBot="1" x14ac:dyDescent="0.25">
      <c r="B30" s="6" t="s">
        <v>12</v>
      </c>
      <c r="C30" s="6" t="s">
        <v>13</v>
      </c>
      <c r="D30" s="7">
        <f>125073962-D29</f>
        <v>76540598.965938359</v>
      </c>
      <c r="E30" s="7">
        <v>47897420</v>
      </c>
      <c r="F30" s="7">
        <f t="shared" si="2"/>
        <v>28643178.965938359</v>
      </c>
      <c r="G30" s="109"/>
      <c r="H30" s="107"/>
      <c r="I30" s="107"/>
    </row>
    <row r="31" spans="1:17" s="4" customFormat="1" thickBot="1" x14ac:dyDescent="0.25">
      <c r="B31" s="6" t="s">
        <v>100</v>
      </c>
      <c r="C31" s="6"/>
      <c r="D31" s="108">
        <f>+'2018'!C53/D30</f>
        <v>1.0481657892016811</v>
      </c>
      <c r="E31" s="108">
        <v>1.675</v>
      </c>
      <c r="F31" s="108">
        <f t="shared" si="2"/>
        <v>-0.62683421079831891</v>
      </c>
      <c r="G31" s="109"/>
      <c r="H31" s="107"/>
      <c r="I31" s="107"/>
    </row>
    <row r="32" spans="1:17" ht="71.099999999999994" customHeight="1" x14ac:dyDescent="0.25">
      <c r="E32" s="131" t="s">
        <v>105</v>
      </c>
      <c r="F32" s="131"/>
      <c r="G32" s="111"/>
    </row>
    <row r="33" spans="1:17" x14ac:dyDescent="0.25">
      <c r="G33" s="111"/>
    </row>
    <row r="34" spans="1:17" s="4" customFormat="1" x14ac:dyDescent="0.2">
      <c r="A34" s="1"/>
      <c r="B34" s="129" t="s">
        <v>2</v>
      </c>
      <c r="C34" s="129"/>
      <c r="D34" s="5">
        <v>2019</v>
      </c>
      <c r="E34" s="5">
        <f>+D34</f>
        <v>2019</v>
      </c>
      <c r="F34" s="5">
        <f>+D34</f>
        <v>2019</v>
      </c>
      <c r="G34" s="112"/>
      <c r="H34" s="1"/>
      <c r="I34" s="1"/>
      <c r="J34" s="1"/>
      <c r="K34" s="1"/>
      <c r="L34" s="1"/>
      <c r="M34" s="1"/>
      <c r="N34" s="1"/>
      <c r="O34" s="1"/>
      <c r="P34" s="1"/>
      <c r="Q34" s="1"/>
    </row>
    <row r="35" spans="1:17" s="4" customFormat="1" x14ac:dyDescent="0.2">
      <c r="A35" s="1"/>
      <c r="B35" s="102"/>
      <c r="C35" s="102"/>
      <c r="D35" s="106" t="s">
        <v>99</v>
      </c>
      <c r="E35" s="106" t="s">
        <v>98</v>
      </c>
      <c r="F35" s="106" t="s">
        <v>58</v>
      </c>
      <c r="G35" s="112"/>
      <c r="H35" s="1"/>
      <c r="I35" s="1"/>
      <c r="J35" s="1"/>
      <c r="K35" s="1"/>
      <c r="L35" s="1"/>
      <c r="M35" s="1"/>
      <c r="N35" s="1"/>
      <c r="O35" s="1"/>
      <c r="P35" s="1"/>
      <c r="Q35" s="1"/>
    </row>
    <row r="36" spans="1:17" s="4" customFormat="1" thickBot="1" x14ac:dyDescent="0.25">
      <c r="A36" s="1"/>
      <c r="B36" s="6" t="s">
        <v>3</v>
      </c>
      <c r="C36" s="6" t="s">
        <v>4</v>
      </c>
      <c r="D36" s="7">
        <f>+D38+D37</f>
        <v>249848695</v>
      </c>
      <c r="E36" s="7">
        <f>+E38+E37</f>
        <v>249276721</v>
      </c>
      <c r="F36" s="7">
        <f>+D36-E36</f>
        <v>571974</v>
      </c>
      <c r="G36" s="109"/>
      <c r="H36" s="107"/>
      <c r="I36" s="107"/>
      <c r="J36" s="1"/>
      <c r="K36" s="1"/>
      <c r="L36" s="1"/>
      <c r="M36" s="1"/>
      <c r="N36" s="1"/>
      <c r="O36" s="1"/>
      <c r="P36" s="1"/>
      <c r="Q36" s="1"/>
    </row>
    <row r="37" spans="1:17" s="4" customFormat="1" thickBot="1" x14ac:dyDescent="0.25">
      <c r="B37" s="6" t="s">
        <v>6</v>
      </c>
      <c r="C37" s="6" t="s">
        <v>7</v>
      </c>
      <c r="D37" s="7">
        <v>125166736</v>
      </c>
      <c r="E37" s="7">
        <v>125081746</v>
      </c>
      <c r="F37" s="7">
        <f t="shared" ref="F37:F41" si="3">+D37-E37</f>
        <v>84990</v>
      </c>
      <c r="G37" s="109"/>
      <c r="H37" s="107"/>
      <c r="I37" s="107"/>
    </row>
    <row r="38" spans="1:17" s="4" customFormat="1" thickBot="1" x14ac:dyDescent="0.25">
      <c r="B38" s="6" t="s">
        <v>8</v>
      </c>
      <c r="C38" s="6" t="s">
        <v>9</v>
      </c>
      <c r="D38" s="7">
        <f>D39+D40</f>
        <v>124681959</v>
      </c>
      <c r="E38" s="7">
        <f>E39+E40</f>
        <v>124194975</v>
      </c>
      <c r="F38" s="7">
        <f t="shared" si="3"/>
        <v>486984</v>
      </c>
      <c r="G38" s="110"/>
    </row>
    <row r="39" spans="1:17" s="4" customFormat="1" thickBot="1" x14ac:dyDescent="0.25">
      <c r="B39" s="6" t="s">
        <v>10</v>
      </c>
      <c r="C39" s="6" t="s">
        <v>11</v>
      </c>
      <c r="D39" s="7">
        <f>'[2]RPP non-RPP'!$C$100</f>
        <v>54676133.899437077</v>
      </c>
      <c r="E39" s="7">
        <v>54676134</v>
      </c>
      <c r="F39" s="7">
        <f t="shared" si="3"/>
        <v>-0.1005629226565361</v>
      </c>
      <c r="G39" s="110"/>
    </row>
    <row r="40" spans="1:17" s="4" customFormat="1" thickBot="1" x14ac:dyDescent="0.25">
      <c r="B40" s="6" t="s">
        <v>12</v>
      </c>
      <c r="C40" s="6" t="s">
        <v>13</v>
      </c>
      <c r="D40" s="7">
        <f>124681959-D39</f>
        <v>70005825.10056293</v>
      </c>
      <c r="E40" s="7">
        <v>69518841</v>
      </c>
      <c r="F40" s="7">
        <f t="shared" si="3"/>
        <v>486984.10056293011</v>
      </c>
      <c r="G40" s="109"/>
      <c r="H40" s="107"/>
      <c r="I40" s="107"/>
    </row>
    <row r="41" spans="1:17" s="4" customFormat="1" thickBot="1" x14ac:dyDescent="0.25">
      <c r="B41" s="6" t="s">
        <v>100</v>
      </c>
      <c r="C41" s="6"/>
      <c r="D41" s="108">
        <f>+'2019'!C53/D40</f>
        <v>1.0481782223801035</v>
      </c>
      <c r="E41" s="108">
        <v>1.0555000000000001</v>
      </c>
      <c r="F41" s="108">
        <f t="shared" si="3"/>
        <v>-7.3217776198966078E-3</v>
      </c>
      <c r="G41" s="107"/>
      <c r="H41" s="107"/>
      <c r="I41" s="107"/>
    </row>
  </sheetData>
  <mergeCells count="7">
    <mergeCell ref="B24:C24"/>
    <mergeCell ref="B34:C34"/>
    <mergeCell ref="B3:C3"/>
    <mergeCell ref="B14:C14"/>
    <mergeCell ref="B1:F1"/>
    <mergeCell ref="E22:F22"/>
    <mergeCell ref="E32:F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6E5CB-B55A-499A-B69A-4F3E8BC8E5B3}">
  <dimension ref="A12:W95"/>
  <sheetViews>
    <sheetView topLeftCell="A42" zoomScaleNormal="100" workbookViewId="0">
      <selection activeCell="F70" sqref="F70"/>
    </sheetView>
  </sheetViews>
  <sheetFormatPr defaultColWidth="9" defaultRowHeight="15" x14ac:dyDescent="0.25"/>
  <cols>
    <col min="1" max="1" width="10.28515625" style="116" customWidth="1"/>
    <col min="2" max="2" width="53.85546875" style="116" customWidth="1"/>
    <col min="3" max="3" width="28" style="116" customWidth="1"/>
    <col min="4" max="4" width="23" style="116" customWidth="1"/>
    <col min="5" max="5" width="19" style="116" customWidth="1"/>
    <col min="6" max="6" width="24.28515625" style="116" customWidth="1"/>
    <col min="7" max="7" width="15.85546875" style="116" customWidth="1"/>
    <col min="8" max="8" width="18" style="116" customWidth="1"/>
    <col min="9" max="11" width="20.5703125" style="116" customWidth="1"/>
    <col min="12" max="12" width="10.5703125" style="116" customWidth="1"/>
    <col min="13" max="13" width="21.42578125" style="116" customWidth="1"/>
    <col min="14" max="14" width="11.85546875" style="116" customWidth="1"/>
    <col min="15" max="15" width="10.5703125" style="116" customWidth="1"/>
    <col min="16" max="16" width="10.28515625" style="116" customWidth="1"/>
    <col min="17" max="18" width="10.5703125" style="116" customWidth="1"/>
    <col min="19" max="19" width="11" style="116" customWidth="1"/>
    <col min="20" max="20" width="13" style="116" customWidth="1"/>
    <col min="21" max="21" width="10.85546875" style="116" customWidth="1"/>
    <col min="22" max="22" width="11.28515625" style="116" customWidth="1"/>
    <col min="23" max="16384" width="9" style="116"/>
  </cols>
  <sheetData>
    <row r="12" spans="1:19" s="4" customFormat="1" x14ac:dyDescent="0.2">
      <c r="A12" s="1" t="s">
        <v>0</v>
      </c>
      <c r="B12" s="2" t="s">
        <v>1</v>
      </c>
      <c r="C12" s="3"/>
      <c r="D12" s="3"/>
      <c r="E12" s="3"/>
      <c r="F12" s="3"/>
      <c r="I12" s="1"/>
      <c r="J12" s="1"/>
      <c r="K12" s="1"/>
      <c r="L12" s="1"/>
      <c r="M12" s="1"/>
      <c r="N12" s="1"/>
      <c r="O12" s="1"/>
      <c r="P12" s="1"/>
      <c r="Q12" s="1"/>
      <c r="R12" s="1"/>
      <c r="S12" s="1"/>
    </row>
    <row r="13" spans="1:19" s="4" customFormat="1" x14ac:dyDescent="0.2">
      <c r="A13" s="1"/>
      <c r="B13" s="129" t="s">
        <v>2</v>
      </c>
      <c r="C13" s="129"/>
      <c r="D13" s="5">
        <v>2017</v>
      </c>
      <c r="E13" s="133"/>
      <c r="F13" s="134"/>
      <c r="G13" s="1"/>
      <c r="H13" s="1"/>
      <c r="I13" s="1"/>
      <c r="J13" s="1"/>
      <c r="K13" s="1"/>
      <c r="L13" s="1"/>
      <c r="M13" s="1"/>
      <c r="N13" s="1"/>
      <c r="O13" s="1"/>
      <c r="P13" s="1"/>
      <c r="Q13" s="1"/>
    </row>
    <row r="14" spans="1:19" s="4" customFormat="1" thickBot="1" x14ac:dyDescent="0.25">
      <c r="A14" s="1"/>
      <c r="B14" s="6" t="s">
        <v>3</v>
      </c>
      <c r="C14" s="6" t="s">
        <v>4</v>
      </c>
      <c r="D14" s="7">
        <f>'Consumption 2017-2019'!D16</f>
        <v>241651142</v>
      </c>
      <c r="E14" s="8" t="s">
        <v>5</v>
      </c>
      <c r="F14" s="9">
        <v>1</v>
      </c>
      <c r="G14" s="1"/>
      <c r="H14" s="1"/>
      <c r="I14" s="1"/>
      <c r="J14" s="1"/>
      <c r="K14" s="1"/>
      <c r="L14" s="1"/>
      <c r="M14" s="1"/>
      <c r="N14" s="1"/>
      <c r="O14" s="1"/>
      <c r="P14" s="1"/>
      <c r="Q14" s="1"/>
    </row>
    <row r="15" spans="1:19" s="4" customFormat="1" thickBot="1" x14ac:dyDescent="0.25">
      <c r="B15" s="6" t="s">
        <v>6</v>
      </c>
      <c r="C15" s="6" t="s">
        <v>7</v>
      </c>
      <c r="D15" s="7">
        <f>'Consumption 2017-2019'!D17</f>
        <v>118904271</v>
      </c>
      <c r="E15" s="8" t="s">
        <v>5</v>
      </c>
      <c r="F15" s="10">
        <f>IFERROR(D15/$D$14,0)</f>
        <v>0.49204928234934642</v>
      </c>
    </row>
    <row r="16" spans="1:19" s="4" customFormat="1" thickBot="1" x14ac:dyDescent="0.25">
      <c r="B16" s="6" t="s">
        <v>8</v>
      </c>
      <c r="C16" s="6" t="s">
        <v>9</v>
      </c>
      <c r="D16" s="7">
        <f>'Consumption 2017-2019'!D18</f>
        <v>122746871</v>
      </c>
      <c r="E16" s="8" t="s">
        <v>5</v>
      </c>
      <c r="F16" s="10">
        <f>IFERROR(D16/$D$14,0)</f>
        <v>0.50795071765065358</v>
      </c>
    </row>
    <row r="17" spans="1:8" s="4" customFormat="1" thickBot="1" x14ac:dyDescent="0.25">
      <c r="B17" s="6" t="s">
        <v>10</v>
      </c>
      <c r="C17" s="6" t="s">
        <v>11</v>
      </c>
      <c r="D17" s="7">
        <f>'Consumption 2017-2019'!D19</f>
        <v>14200622.078045988</v>
      </c>
      <c r="E17" s="8" t="s">
        <v>5</v>
      </c>
      <c r="F17" s="10">
        <f>IFERROR(D17/$D$14,0)</f>
        <v>5.876496986737182E-2</v>
      </c>
    </row>
    <row r="18" spans="1:8" s="4" customFormat="1" thickBot="1" x14ac:dyDescent="0.25">
      <c r="B18" s="6" t="s">
        <v>12</v>
      </c>
      <c r="C18" s="6" t="s">
        <v>13</v>
      </c>
      <c r="D18" s="7">
        <f>'Consumption 2017-2019'!D20-8000000</f>
        <v>100546248.92195401</v>
      </c>
      <c r="E18" s="8" t="s">
        <v>5</v>
      </c>
      <c r="F18" s="10">
        <f>IFERROR(D18/$D$14,0)</f>
        <v>0.41608017280528309</v>
      </c>
    </row>
    <row r="19" spans="1:8" s="4" customFormat="1" ht="34.5" customHeight="1" x14ac:dyDescent="0.2">
      <c r="B19" s="135" t="s">
        <v>14</v>
      </c>
      <c r="C19" s="135"/>
      <c r="D19" s="135"/>
      <c r="E19" s="135"/>
      <c r="F19" s="135"/>
      <c r="G19" s="136"/>
      <c r="H19" s="136"/>
    </row>
    <row r="20" spans="1:8" s="4" customFormat="1" ht="14.25" x14ac:dyDescent="0.2">
      <c r="D20" s="11"/>
    </row>
    <row r="21" spans="1:8" s="4" customFormat="1" x14ac:dyDescent="0.25">
      <c r="A21" s="4" t="s">
        <v>15</v>
      </c>
      <c r="B21" s="12" t="s">
        <v>16</v>
      </c>
    </row>
    <row r="22" spans="1:8" s="4" customFormat="1" x14ac:dyDescent="0.25">
      <c r="B22" s="12"/>
    </row>
    <row r="23" spans="1:8" s="4" customFormat="1" x14ac:dyDescent="0.25">
      <c r="B23" s="115" t="s">
        <v>17</v>
      </c>
      <c r="C23" s="14" t="s">
        <v>18</v>
      </c>
      <c r="E23" s="1"/>
    </row>
    <row r="24" spans="1:8" s="4" customFormat="1" ht="14.25" x14ac:dyDescent="0.2">
      <c r="E24" s="1"/>
    </row>
    <row r="25" spans="1:8" s="4" customFormat="1" x14ac:dyDescent="0.25">
      <c r="B25" s="137" t="s">
        <v>19</v>
      </c>
      <c r="C25" s="138"/>
      <c r="D25" s="138"/>
      <c r="E25" s="138"/>
      <c r="F25" s="138"/>
      <c r="G25" s="14" t="s">
        <v>20</v>
      </c>
    </row>
    <row r="26" spans="1:8" s="4" customFormat="1" ht="14.25" x14ac:dyDescent="0.2">
      <c r="E26" s="1"/>
    </row>
    <row r="27" spans="1:8" s="4" customFormat="1" x14ac:dyDescent="0.25">
      <c r="B27" s="137" t="s">
        <v>21</v>
      </c>
      <c r="C27" s="138"/>
      <c r="D27" s="138"/>
      <c r="E27" s="138"/>
      <c r="F27" s="138"/>
      <c r="G27" s="14" t="s">
        <v>20</v>
      </c>
    </row>
    <row r="28" spans="1:8" s="4" customFormat="1" ht="15" customHeight="1" x14ac:dyDescent="0.25">
      <c r="B28" s="17"/>
      <c r="C28" s="17"/>
      <c r="D28" s="17"/>
      <c r="E28" s="17"/>
      <c r="F28" s="17"/>
      <c r="G28" s="17"/>
      <c r="H28" s="17"/>
    </row>
    <row r="29" spans="1:8" s="4" customFormat="1" ht="15" hidden="1" customHeight="1" x14ac:dyDescent="0.25">
      <c r="B29" s="17"/>
      <c r="C29" s="17"/>
      <c r="D29" s="17"/>
      <c r="E29" s="17"/>
      <c r="F29" s="17"/>
      <c r="G29" s="17"/>
      <c r="H29" s="17"/>
    </row>
    <row r="30" spans="1:8" s="4" customFormat="1" ht="15" hidden="1" customHeight="1" x14ac:dyDescent="0.25">
      <c r="B30" s="17"/>
      <c r="C30" s="17"/>
      <c r="D30" s="17"/>
      <c r="E30" s="17"/>
      <c r="F30" s="17"/>
      <c r="G30" s="17"/>
      <c r="H30" s="17"/>
    </row>
    <row r="31" spans="1:8" s="4" customFormat="1" ht="15" hidden="1" customHeight="1" x14ac:dyDescent="0.25">
      <c r="B31" s="17"/>
      <c r="C31" s="17"/>
      <c r="D31" s="17"/>
      <c r="E31" s="17"/>
      <c r="F31" s="17"/>
      <c r="G31" s="17"/>
      <c r="H31" s="17"/>
    </row>
    <row r="32" spans="1:8" s="4" customFormat="1" ht="14.25" hidden="1" customHeight="1" x14ac:dyDescent="0.25">
      <c r="B32" s="17"/>
      <c r="C32" s="17"/>
      <c r="D32" s="17"/>
      <c r="E32" s="17"/>
      <c r="F32" s="17"/>
      <c r="G32" s="17"/>
      <c r="H32" s="17"/>
    </row>
    <row r="33" spans="1:23" s="4" customFormat="1" ht="14.25" hidden="1" customHeight="1" x14ac:dyDescent="0.25">
      <c r="B33" s="17"/>
      <c r="C33" s="17"/>
      <c r="D33" s="17"/>
      <c r="E33" s="17"/>
      <c r="F33" s="17"/>
      <c r="G33" s="17"/>
      <c r="H33" s="17"/>
    </row>
    <row r="34" spans="1:23" s="4" customFormat="1" ht="14.25" hidden="1" customHeight="1" x14ac:dyDescent="0.25">
      <c r="B34" s="17"/>
      <c r="C34" s="17"/>
      <c r="D34" s="17"/>
      <c r="E34" s="17"/>
      <c r="F34" s="17"/>
      <c r="G34" s="17"/>
      <c r="H34" s="17"/>
    </row>
    <row r="35" spans="1:23" s="4" customFormat="1" ht="14.25" hidden="1" customHeight="1" x14ac:dyDescent="0.25">
      <c r="B35" s="17"/>
      <c r="C35" s="17"/>
      <c r="D35" s="17"/>
      <c r="E35" s="17"/>
      <c r="F35" s="17"/>
      <c r="G35" s="17"/>
      <c r="H35" s="17"/>
    </row>
    <row r="36" spans="1:23" s="4" customFormat="1" ht="14.25" x14ac:dyDescent="0.2"/>
    <row r="37" spans="1:23" s="4" customFormat="1" x14ac:dyDescent="0.25">
      <c r="A37" s="4" t="s">
        <v>22</v>
      </c>
      <c r="B37" s="18" t="s">
        <v>23</v>
      </c>
      <c r="C37" s="12"/>
    </row>
    <row r="38" spans="1:23" s="4" customFormat="1" ht="15.75" thickBot="1" x14ac:dyDescent="0.3">
      <c r="B38" s="115" t="s">
        <v>2</v>
      </c>
      <c r="C38" s="19">
        <v>2017</v>
      </c>
      <c r="D38" s="1"/>
      <c r="E38" s="1"/>
      <c r="F38" s="20"/>
      <c r="G38" s="115"/>
      <c r="H38" s="115"/>
      <c r="I38" s="115"/>
      <c r="J38" s="115"/>
      <c r="K38" s="115"/>
      <c r="N38" s="116"/>
      <c r="O38" s="116"/>
      <c r="P38" s="116"/>
      <c r="Q38" s="116"/>
      <c r="R38" s="116"/>
      <c r="S38" s="116"/>
      <c r="T38" s="116"/>
      <c r="U38" s="116"/>
      <c r="V38" s="116"/>
      <c r="W38" s="116"/>
    </row>
    <row r="39" spans="1:23" s="17" customFormat="1" ht="80.25" customHeight="1" thickBot="1" x14ac:dyDescent="0.3">
      <c r="B39" s="21" t="s">
        <v>24</v>
      </c>
      <c r="C39" s="22" t="s">
        <v>25</v>
      </c>
      <c r="D39" s="23" t="s">
        <v>26</v>
      </c>
      <c r="E39" s="24" t="s">
        <v>27</v>
      </c>
      <c r="F39" s="25" t="s">
        <v>28</v>
      </c>
      <c r="G39" s="26" t="s">
        <v>29</v>
      </c>
      <c r="H39" s="26" t="s">
        <v>30</v>
      </c>
      <c r="I39" s="26" t="s">
        <v>31</v>
      </c>
      <c r="J39" s="26" t="s">
        <v>32</v>
      </c>
      <c r="K39" s="27" t="s">
        <v>33</v>
      </c>
      <c r="M39" s="125"/>
      <c r="N39" s="116"/>
      <c r="O39" s="116"/>
      <c r="P39" s="116"/>
      <c r="Q39" s="116"/>
      <c r="R39" s="116"/>
      <c r="S39" s="116"/>
      <c r="T39" s="116"/>
      <c r="U39" s="116"/>
      <c r="V39" s="116"/>
      <c r="W39" s="116"/>
    </row>
    <row r="40" spans="1:23" s="17" customFormat="1" x14ac:dyDescent="0.25">
      <c r="B40" s="28"/>
      <c r="C40" s="29" t="s">
        <v>34</v>
      </c>
      <c r="D40" s="29" t="s">
        <v>35</v>
      </c>
      <c r="E40" s="30" t="s">
        <v>36</v>
      </c>
      <c r="F40" s="30" t="s">
        <v>37</v>
      </c>
      <c r="G40" s="30" t="s">
        <v>38</v>
      </c>
      <c r="H40" s="31" t="s">
        <v>39</v>
      </c>
      <c r="I40" s="30" t="s">
        <v>40</v>
      </c>
      <c r="J40" s="31" t="s">
        <v>41</v>
      </c>
      <c r="K40" s="32" t="s">
        <v>42</v>
      </c>
      <c r="M40" s="125"/>
      <c r="N40" s="116"/>
      <c r="O40" s="116"/>
      <c r="P40" s="116"/>
      <c r="Q40" s="116"/>
      <c r="R40" s="116"/>
      <c r="S40" s="116"/>
      <c r="T40" s="116"/>
      <c r="U40" s="116"/>
      <c r="V40" s="116"/>
      <c r="W40" s="116"/>
    </row>
    <row r="41" spans="1:23" s="4" customFormat="1" x14ac:dyDescent="0.25">
      <c r="B41" s="33" t="s">
        <v>43</v>
      </c>
      <c r="C41" s="34">
        <v>11200169.079182591</v>
      </c>
      <c r="D41" s="34"/>
      <c r="E41" s="35"/>
      <c r="F41" s="36">
        <v>11200169.079182591</v>
      </c>
      <c r="G41" s="37">
        <f>IF($C$23="1st Estimate",'[3]GA Rates'!J4,IF($C$23="2nd Estimate",'[3]GA Rates'!K4,IF($C$23="Actual",'[3]GA Rates'!L4,0)))</f>
        <v>6.6869999999999999E-2</v>
      </c>
      <c r="H41" s="38">
        <f>F41*G41</f>
        <v>748955.30632493983</v>
      </c>
      <c r="I41" s="37">
        <f>'[3]GA Rates'!L4</f>
        <v>8.2269999999999996E-2</v>
      </c>
      <c r="J41" s="39">
        <f>F41*I41</f>
        <v>921437.91014435177</v>
      </c>
      <c r="K41" s="40">
        <f>J41-H41</f>
        <v>172482.60381941195</v>
      </c>
      <c r="M41" s="126"/>
      <c r="N41" s="116"/>
      <c r="O41" s="116"/>
      <c r="P41" s="116"/>
      <c r="Q41" s="116"/>
      <c r="R41" s="116"/>
      <c r="S41" s="116"/>
      <c r="T41" s="116"/>
      <c r="U41" s="116"/>
      <c r="V41" s="116"/>
      <c r="W41" s="116"/>
    </row>
    <row r="42" spans="1:23" s="4" customFormat="1" x14ac:dyDescent="0.25">
      <c r="B42" s="33" t="s">
        <v>44</v>
      </c>
      <c r="C42" s="34">
        <v>10048201.13126247</v>
      </c>
      <c r="D42" s="34"/>
      <c r="E42" s="35"/>
      <c r="F42" s="36">
        <v>10048201.13126247</v>
      </c>
      <c r="G42" s="37">
        <f>IF($C$23="1st Estimate",'[3]GA Rates'!J5,IF($C$23="2nd Estimate",'[3]GA Rates'!K5,IF($C$23="Actual",'[3]GA Rates'!L5,0)))</f>
        <v>0.10559</v>
      </c>
      <c r="H42" s="38">
        <f t="shared" ref="H42:H52" si="0">F42*G42</f>
        <v>1060989.5574500042</v>
      </c>
      <c r="I42" s="37">
        <f>'[3]GA Rates'!L5</f>
        <v>8.6389999999999995E-2</v>
      </c>
      <c r="J42" s="39">
        <f t="shared" ref="J42:J52" si="1">F42*I42</f>
        <v>868064.09572976478</v>
      </c>
      <c r="K42" s="40">
        <f t="shared" ref="K42:K52" si="2">J42-H42</f>
        <v>-192925.46172023937</v>
      </c>
      <c r="M42" s="126"/>
      <c r="N42" s="116"/>
      <c r="O42" s="116"/>
      <c r="P42" s="116"/>
      <c r="Q42" s="116"/>
      <c r="R42" s="116"/>
      <c r="S42" s="116"/>
      <c r="T42" s="116"/>
      <c r="U42" s="116"/>
      <c r="V42" s="116"/>
      <c r="W42" s="116"/>
    </row>
    <row r="43" spans="1:23" s="4" customFormat="1" x14ac:dyDescent="0.25">
      <c r="B43" s="33" t="s">
        <v>45</v>
      </c>
      <c r="C43" s="34">
        <v>11289465.039023675</v>
      </c>
      <c r="D43" s="34"/>
      <c r="E43" s="35"/>
      <c r="F43" s="36">
        <v>11289465.039023675</v>
      </c>
      <c r="G43" s="37">
        <f>IF($C$23="1st Estimate",'[3]GA Rates'!J6,IF($C$23="2nd Estimate",'[3]GA Rates'!K6,IF($C$23="Actual",'[3]GA Rates'!L6,0)))</f>
        <v>8.4089999999999998E-2</v>
      </c>
      <c r="H43" s="38">
        <f t="shared" si="0"/>
        <v>949331.11513150076</v>
      </c>
      <c r="I43" s="37">
        <f>'[3]GA Rates'!L6</f>
        <v>7.1349999999999997E-2</v>
      </c>
      <c r="J43" s="39">
        <f t="shared" si="1"/>
        <v>805503.33053433918</v>
      </c>
      <c r="K43" s="40">
        <f t="shared" si="2"/>
        <v>-143827.78459716158</v>
      </c>
      <c r="M43" s="126"/>
      <c r="N43" s="116"/>
      <c r="O43" s="116"/>
      <c r="P43" s="116"/>
      <c r="Q43" s="116"/>
      <c r="R43" s="116"/>
      <c r="S43" s="116"/>
      <c r="T43" s="116"/>
      <c r="U43" s="116"/>
      <c r="V43" s="116"/>
      <c r="W43" s="116"/>
    </row>
    <row r="44" spans="1:23" s="4" customFormat="1" x14ac:dyDescent="0.25">
      <c r="B44" s="33" t="s">
        <v>46</v>
      </c>
      <c r="C44" s="34">
        <v>10362504.666332578</v>
      </c>
      <c r="D44" s="34"/>
      <c r="E44" s="35"/>
      <c r="F44" s="36">
        <v>10362504.666332578</v>
      </c>
      <c r="G44" s="37">
        <f>IF($C$23="1st Estimate",'[3]GA Rates'!J7,IF($C$23="2nd Estimate",'[3]GA Rates'!K7,IF($C$23="Actual",'[3]GA Rates'!L7,0)))</f>
        <v>6.8739999999999996E-2</v>
      </c>
      <c r="H44" s="38">
        <f t="shared" si="0"/>
        <v>712318.57076370134</v>
      </c>
      <c r="I44" s="37">
        <f>'[3]GA Rates'!L7</f>
        <v>0.10778</v>
      </c>
      <c r="J44" s="39">
        <f t="shared" si="1"/>
        <v>1116870.7529373253</v>
      </c>
      <c r="K44" s="40">
        <f t="shared" si="2"/>
        <v>404552.18217362394</v>
      </c>
      <c r="M44" s="126"/>
      <c r="N44" s="116"/>
      <c r="O44" s="116"/>
      <c r="P44" s="116"/>
      <c r="Q44" s="116"/>
      <c r="R44" s="116"/>
      <c r="S44" s="116"/>
      <c r="T44" s="116"/>
      <c r="U44" s="116"/>
      <c r="V44" s="116"/>
      <c r="W44" s="116"/>
    </row>
    <row r="45" spans="1:23" s="4" customFormat="1" x14ac:dyDescent="0.25">
      <c r="B45" s="33" t="s">
        <v>47</v>
      </c>
      <c r="C45" s="34">
        <v>10832366.987008635</v>
      </c>
      <c r="D45" s="34"/>
      <c r="E45" s="35"/>
      <c r="F45" s="36">
        <v>10832366.987008635</v>
      </c>
      <c r="G45" s="37">
        <f>IF($C$23="1st Estimate",'[3]GA Rates'!J8,IF($C$23="2nd Estimate",'[3]GA Rates'!K8,IF($C$23="Actual",'[3]GA Rates'!L8,0)))</f>
        <v>0.10623</v>
      </c>
      <c r="H45" s="38">
        <f t="shared" si="0"/>
        <v>1150722.3450299273</v>
      </c>
      <c r="I45" s="37">
        <f>'[3]GA Rates'!L8</f>
        <v>0.12307</v>
      </c>
      <c r="J45" s="39">
        <f t="shared" si="1"/>
        <v>1333139.4050911528</v>
      </c>
      <c r="K45" s="40">
        <f t="shared" si="2"/>
        <v>182417.06006122543</v>
      </c>
      <c r="M45" s="126"/>
      <c r="N45" s="116"/>
      <c r="O45" s="116"/>
      <c r="P45" s="116"/>
      <c r="Q45" s="116"/>
      <c r="R45" s="116"/>
      <c r="S45" s="116"/>
      <c r="T45" s="116"/>
      <c r="U45" s="116"/>
      <c r="V45" s="116"/>
      <c r="W45" s="116"/>
    </row>
    <row r="46" spans="1:23" s="4" customFormat="1" x14ac:dyDescent="0.25">
      <c r="B46" s="33" t="s">
        <v>48</v>
      </c>
      <c r="C46" s="34">
        <v>10261323.918387791</v>
      </c>
      <c r="D46" s="34"/>
      <c r="E46" s="35"/>
      <c r="F46" s="36">
        <v>10261323.918387791</v>
      </c>
      <c r="G46" s="37">
        <f>IF($C$23="1st Estimate",'[3]GA Rates'!J9,IF($C$23="2nd Estimate",'[3]GA Rates'!K9,IF($C$23="Actual",'[3]GA Rates'!L9,0)))</f>
        <v>0.11954000000000001</v>
      </c>
      <c r="H46" s="38">
        <f t="shared" si="0"/>
        <v>1226638.6612040766</v>
      </c>
      <c r="I46" s="37">
        <f>'[3]GA Rates'!L9</f>
        <v>0.11848</v>
      </c>
      <c r="J46" s="39">
        <f t="shared" si="1"/>
        <v>1215761.6578505854</v>
      </c>
      <c r="K46" s="40">
        <f t="shared" si="2"/>
        <v>-10877.003353491193</v>
      </c>
      <c r="M46" s="126"/>
      <c r="N46" s="116"/>
      <c r="O46" s="116"/>
      <c r="P46" s="116"/>
      <c r="Q46" s="116"/>
      <c r="R46" s="116"/>
      <c r="S46" s="116"/>
      <c r="T46" s="116"/>
      <c r="U46" s="116"/>
      <c r="V46" s="116"/>
      <c r="W46" s="116"/>
    </row>
    <row r="47" spans="1:23" s="4" customFormat="1" x14ac:dyDescent="0.25">
      <c r="B47" s="82" t="s">
        <v>49</v>
      </c>
      <c r="C47" s="83">
        <f>10735399.4387646</f>
        <v>10735399.4387646</v>
      </c>
      <c r="D47" s="84"/>
      <c r="E47" s="83"/>
      <c r="F47" s="85">
        <v>10735399.438764594</v>
      </c>
      <c r="G47" s="86">
        <f>IF($C$23="1st Estimate",'[3]GA Rates'!J10,IF($C$23="2nd Estimate",'[3]GA Rates'!K10,IF($C$23="Actual",'[3]GA Rates'!L10,0)))</f>
        <v>0.10651999999999999</v>
      </c>
      <c r="H47" s="87">
        <f t="shared" si="0"/>
        <v>1143534.7482172046</v>
      </c>
      <c r="I47" s="86">
        <f>'[3]GA Rates'!L10</f>
        <v>0.1128</v>
      </c>
      <c r="J47" s="87">
        <f t="shared" si="1"/>
        <v>1210953.0566926461</v>
      </c>
      <c r="K47" s="88">
        <f t="shared" si="2"/>
        <v>67418.308475441532</v>
      </c>
      <c r="M47" s="126"/>
      <c r="N47" s="116"/>
      <c r="O47" s="116"/>
      <c r="P47" s="116"/>
      <c r="Q47" s="116"/>
      <c r="R47" s="116"/>
      <c r="S47" s="116"/>
      <c r="T47" s="116"/>
      <c r="U47" s="116"/>
      <c r="V47" s="116"/>
      <c r="W47" s="116"/>
    </row>
    <row r="48" spans="1:23" s="4" customFormat="1" x14ac:dyDescent="0.25">
      <c r="B48" s="82" t="s">
        <v>50</v>
      </c>
      <c r="C48" s="83">
        <f>11076364.0772782</f>
        <v>11076364.077278201</v>
      </c>
      <c r="D48" s="84"/>
      <c r="E48" s="83"/>
      <c r="F48" s="85">
        <v>11076364.077278215</v>
      </c>
      <c r="G48" s="86">
        <f>IF($C$23="1st Estimate",'[3]GA Rates'!J11,IF($C$23="2nd Estimate",'[3]GA Rates'!K11,IF($C$23="Actual",'[3]GA Rates'!L11,0)))</f>
        <v>0.115</v>
      </c>
      <c r="H48" s="87">
        <f t="shared" si="0"/>
        <v>1273781.8688869949</v>
      </c>
      <c r="I48" s="86">
        <f>'[3]GA Rates'!L11</f>
        <v>0.10109</v>
      </c>
      <c r="J48" s="87">
        <f t="shared" si="1"/>
        <v>1119709.6445720547</v>
      </c>
      <c r="K48" s="88">
        <f t="shared" si="2"/>
        <v>-154072.22431494016</v>
      </c>
      <c r="M48" s="126"/>
      <c r="N48" s="116"/>
      <c r="O48" s="116"/>
      <c r="P48" s="116"/>
      <c r="Q48" s="116"/>
      <c r="R48" s="116"/>
      <c r="S48" s="116"/>
      <c r="T48" s="116"/>
      <c r="U48" s="116"/>
      <c r="V48" s="116"/>
      <c r="W48" s="116"/>
    </row>
    <row r="49" spans="2:23" s="4" customFormat="1" x14ac:dyDescent="0.25">
      <c r="B49" s="33" t="s">
        <v>51</v>
      </c>
      <c r="C49" s="35">
        <v>6956729.9620543011</v>
      </c>
      <c r="D49" s="34"/>
      <c r="E49" s="35"/>
      <c r="F49" s="36">
        <v>6956729.9620543011</v>
      </c>
      <c r="G49" s="37">
        <f>IF($C$23="1st Estimate",'[3]GA Rates'!J12,IF($C$23="2nd Estimate",'[3]GA Rates'!K12,IF($C$23="Actual",'[3]GA Rates'!L12,0)))</f>
        <v>0.12739</v>
      </c>
      <c r="H49" s="38">
        <f t="shared" si="0"/>
        <v>886217.82986609743</v>
      </c>
      <c r="I49" s="37">
        <f>'[3]GA Rates'!L12</f>
        <v>8.8639999999999997E-2</v>
      </c>
      <c r="J49" s="39">
        <f t="shared" si="1"/>
        <v>616644.54383649328</v>
      </c>
      <c r="K49" s="40">
        <f t="shared" si="2"/>
        <v>-269573.28602960415</v>
      </c>
      <c r="M49" s="126"/>
      <c r="N49" s="116"/>
      <c r="O49" s="116"/>
      <c r="P49" s="116"/>
      <c r="Q49" s="116"/>
      <c r="R49" s="116"/>
      <c r="S49" s="116"/>
      <c r="T49" s="116"/>
      <c r="U49" s="116"/>
      <c r="V49" s="116"/>
      <c r="W49" s="116"/>
    </row>
    <row r="50" spans="2:23" s="4" customFormat="1" x14ac:dyDescent="0.25">
      <c r="B50" s="33" t="s">
        <v>52</v>
      </c>
      <c r="C50" s="35">
        <v>6739619.6688682232</v>
      </c>
      <c r="D50" s="34"/>
      <c r="E50" s="35"/>
      <c r="F50" s="36">
        <v>6739619.6688682232</v>
      </c>
      <c r="G50" s="37">
        <f>IF($C$23="1st Estimate",'[3]GA Rates'!J13,IF($C$23="2nd Estimate",'[3]GA Rates'!K13,IF($C$23="Actual",'[3]GA Rates'!L13,0)))</f>
        <v>0.10212</v>
      </c>
      <c r="H50" s="38">
        <f t="shared" si="0"/>
        <v>688249.96058482293</v>
      </c>
      <c r="I50" s="37">
        <f>'[3]GA Rates'!L13</f>
        <v>0.12562999999999999</v>
      </c>
      <c r="J50" s="39">
        <f t="shared" si="1"/>
        <v>846698.41899991478</v>
      </c>
      <c r="K50" s="40">
        <f t="shared" si="2"/>
        <v>158448.45841509185</v>
      </c>
      <c r="M50" s="126"/>
      <c r="N50" s="116"/>
      <c r="O50" s="116"/>
      <c r="P50" s="116"/>
      <c r="Q50" s="116"/>
      <c r="R50" s="116"/>
      <c r="S50" s="116"/>
      <c r="T50" s="116"/>
      <c r="U50" s="116"/>
      <c r="V50" s="116"/>
      <c r="W50" s="116"/>
    </row>
    <row r="51" spans="2:23" s="4" customFormat="1" x14ac:dyDescent="0.25">
      <c r="B51" s="33" t="s">
        <v>53</v>
      </c>
      <c r="C51" s="35">
        <v>6793019.4606413357</v>
      </c>
      <c r="D51" s="34"/>
      <c r="E51" s="35"/>
      <c r="F51" s="36">
        <v>6793019.4606413357</v>
      </c>
      <c r="G51" s="37">
        <f>IF($C$23="1st Estimate",'[3]GA Rates'!J14,IF($C$23="2nd Estimate",'[3]GA Rates'!K14,IF($C$23="Actual",'[3]GA Rates'!L14,0)))</f>
        <v>0.11164</v>
      </c>
      <c r="H51" s="38">
        <f t="shared" si="0"/>
        <v>758372.69258599868</v>
      </c>
      <c r="I51" s="37">
        <f>'[3]GA Rates'!L14</f>
        <v>9.7040000000000001E-2</v>
      </c>
      <c r="J51" s="39">
        <f t="shared" si="1"/>
        <v>659194.60846063518</v>
      </c>
      <c r="K51" s="40">
        <f t="shared" si="2"/>
        <v>-99178.084125363501</v>
      </c>
      <c r="M51" s="126"/>
      <c r="N51" s="116"/>
      <c r="O51" s="116"/>
      <c r="P51" s="116"/>
      <c r="Q51" s="116"/>
      <c r="R51" s="116"/>
      <c r="S51" s="116"/>
      <c r="T51" s="116"/>
      <c r="U51" s="116"/>
      <c r="V51" s="116"/>
      <c r="W51" s="116"/>
    </row>
    <row r="52" spans="2:23" s="4" customFormat="1" x14ac:dyDescent="0.25">
      <c r="B52" s="33" t="s">
        <v>54</v>
      </c>
      <c r="C52" s="41">
        <v>7208575.0534029994</v>
      </c>
      <c r="D52" s="34"/>
      <c r="E52" s="35"/>
      <c r="F52" s="36">
        <v>7208575.0534029994</v>
      </c>
      <c r="G52" s="37">
        <f>IF($C$23="1st Estimate",'[3]GA Rates'!J15,IF($C$23="2nd Estimate",'[3]GA Rates'!K15,IF($C$23="Actual",'[3]GA Rates'!L15,0)))</f>
        <v>8.3909999999999998E-2</v>
      </c>
      <c r="H52" s="38">
        <f t="shared" si="0"/>
        <v>604871.53273104562</v>
      </c>
      <c r="I52" s="37">
        <f>'[3]GA Rates'!L15</f>
        <v>9.2069999999999999E-2</v>
      </c>
      <c r="J52" s="39">
        <f t="shared" si="1"/>
        <v>663693.5051668142</v>
      </c>
      <c r="K52" s="40">
        <f t="shared" si="2"/>
        <v>58821.972435768577</v>
      </c>
      <c r="M52" s="126"/>
      <c r="N52" s="116"/>
      <c r="O52" s="116"/>
      <c r="P52" s="116"/>
      <c r="Q52" s="116"/>
      <c r="R52" s="116"/>
      <c r="S52" s="116"/>
      <c r="T52" s="116"/>
      <c r="U52" s="116"/>
      <c r="V52" s="116"/>
      <c r="W52" s="116"/>
    </row>
    <row r="53" spans="2:23" s="4" customFormat="1" ht="30.75" thickBot="1" x14ac:dyDescent="0.3">
      <c r="B53" s="42" t="s">
        <v>55</v>
      </c>
      <c r="C53" s="43">
        <f>SUM(C41:C52)</f>
        <v>113503738.4822074</v>
      </c>
      <c r="D53" s="43">
        <f>SUM(D41:D52)</f>
        <v>0</v>
      </c>
      <c r="E53" s="43">
        <f>SUM(E41:E52)</f>
        <v>0</v>
      </c>
      <c r="F53" s="43">
        <f>SUM(F41:F52)</f>
        <v>113503738.48220742</v>
      </c>
      <c r="G53" s="44"/>
      <c r="H53" s="45">
        <f>SUM(H41:H52)</f>
        <v>11203984.188776314</v>
      </c>
      <c r="I53" s="44"/>
      <c r="J53" s="45">
        <f>SUM(J41:J52)</f>
        <v>11377670.930016074</v>
      </c>
      <c r="K53" s="46">
        <f>SUM(K41:K52)</f>
        <v>173686.74123976333</v>
      </c>
      <c r="M53" s="127"/>
      <c r="N53" s="116"/>
      <c r="O53" s="116"/>
      <c r="P53" s="116"/>
      <c r="Q53" s="116"/>
      <c r="R53" s="116"/>
      <c r="S53" s="116"/>
      <c r="T53" s="116"/>
      <c r="U53" s="116"/>
      <c r="V53" s="116"/>
      <c r="W53" s="116"/>
    </row>
    <row r="54" spans="2:23" s="4" customFormat="1" ht="14.25" x14ac:dyDescent="0.2">
      <c r="G54" s="1"/>
      <c r="I54" s="1"/>
      <c r="J54" s="1"/>
      <c r="K54" s="48"/>
      <c r="M54" s="128"/>
      <c r="O54" s="49"/>
      <c r="P54" s="49"/>
      <c r="Q54" s="49"/>
      <c r="R54" s="49"/>
      <c r="S54" s="49"/>
      <c r="T54" s="49"/>
      <c r="U54" s="49"/>
      <c r="V54" s="49"/>
      <c r="W54" s="49"/>
    </row>
    <row r="55" spans="2:23" s="4" customFormat="1" hidden="1" x14ac:dyDescent="0.25">
      <c r="G55" s="1"/>
      <c r="H55" s="116"/>
      <c r="I55" s="116"/>
      <c r="J55" s="116"/>
      <c r="K55" s="116"/>
      <c r="M55" s="128"/>
      <c r="O55" s="49"/>
      <c r="P55" s="49"/>
      <c r="Q55" s="49"/>
      <c r="R55" s="49"/>
      <c r="S55" s="49"/>
      <c r="T55" s="49"/>
      <c r="U55" s="49"/>
      <c r="V55" s="49"/>
      <c r="W55" s="49"/>
    </row>
    <row r="56" spans="2:23" s="4" customFormat="1" hidden="1" x14ac:dyDescent="0.25">
      <c r="G56" s="1"/>
      <c r="H56" s="116"/>
      <c r="I56" s="116"/>
      <c r="J56" s="116"/>
      <c r="K56" s="116"/>
      <c r="M56" s="128"/>
      <c r="O56" s="49"/>
      <c r="P56" s="49"/>
      <c r="Q56" s="49"/>
      <c r="R56" s="49"/>
      <c r="S56" s="49"/>
      <c r="T56" s="49"/>
      <c r="U56" s="49"/>
      <c r="V56" s="49"/>
      <c r="W56" s="49"/>
    </row>
    <row r="57" spans="2:23" s="4" customFormat="1" hidden="1" x14ac:dyDescent="0.25">
      <c r="G57" s="1"/>
      <c r="H57" s="116"/>
      <c r="I57" s="116"/>
      <c r="J57" s="116"/>
      <c r="K57" s="116"/>
      <c r="M57" s="128"/>
      <c r="O57" s="49"/>
      <c r="P57" s="49"/>
      <c r="Q57" s="49"/>
      <c r="R57" s="49"/>
      <c r="S57" s="49"/>
      <c r="T57" s="49"/>
      <c r="U57" s="49"/>
      <c r="V57" s="49"/>
      <c r="W57" s="49"/>
    </row>
    <row r="58" spans="2:23" s="4" customFormat="1" hidden="1" x14ac:dyDescent="0.25">
      <c r="G58" s="1"/>
      <c r="H58" s="132"/>
      <c r="I58" s="132"/>
      <c r="J58" s="132"/>
      <c r="K58" s="50"/>
      <c r="M58" s="128"/>
      <c r="O58" s="49"/>
      <c r="P58" s="49"/>
      <c r="Q58" s="49"/>
      <c r="R58" s="49"/>
      <c r="S58" s="49"/>
      <c r="T58" s="49"/>
      <c r="U58" s="49"/>
      <c r="V58" s="49"/>
      <c r="W58" s="49"/>
    </row>
    <row r="59" spans="2:23" s="4" customFormat="1" x14ac:dyDescent="0.25">
      <c r="H59" s="143" t="s">
        <v>56</v>
      </c>
      <c r="I59" s="143"/>
      <c r="J59" s="143"/>
      <c r="K59" s="51">
        <f>IFERROR(F53/D18,0)</f>
        <v>1.1288709394848859</v>
      </c>
      <c r="M59" s="128"/>
      <c r="O59" s="49"/>
      <c r="P59" s="49"/>
      <c r="Q59" s="49"/>
      <c r="R59" s="49"/>
      <c r="S59" s="49"/>
      <c r="T59" s="49"/>
      <c r="U59" s="49"/>
      <c r="V59" s="49"/>
      <c r="W59" s="49"/>
    </row>
    <row r="60" spans="2:23" s="4" customFormat="1" ht="30" customHeight="1" x14ac:dyDescent="0.25">
      <c r="H60" s="143" t="s">
        <v>57</v>
      </c>
      <c r="I60" s="143"/>
      <c r="J60" s="143"/>
      <c r="K60" s="52">
        <v>1.0481</v>
      </c>
      <c r="O60" s="49"/>
      <c r="P60" s="49"/>
      <c r="Q60" s="49"/>
      <c r="R60" s="49"/>
      <c r="S60" s="49"/>
      <c r="T60" s="49"/>
      <c r="U60" s="49"/>
      <c r="V60" s="49"/>
      <c r="W60" s="49"/>
    </row>
    <row r="61" spans="2:23" s="4" customFormat="1" x14ac:dyDescent="0.25">
      <c r="H61" s="143" t="s">
        <v>58</v>
      </c>
      <c r="I61" s="143"/>
      <c r="J61" s="143"/>
      <c r="K61" s="51">
        <f>K59-K60</f>
        <v>8.0770939484885895E-2</v>
      </c>
      <c r="O61" s="49"/>
      <c r="P61" s="49"/>
      <c r="Q61" s="49"/>
      <c r="R61" s="49"/>
      <c r="S61" s="49"/>
      <c r="T61" s="49"/>
      <c r="U61" s="49"/>
      <c r="V61" s="49"/>
      <c r="W61" s="49"/>
    </row>
    <row r="62" spans="2:23" s="4" customFormat="1" ht="15.75" thickBot="1" x14ac:dyDescent="0.3">
      <c r="B62" s="115" t="s">
        <v>59</v>
      </c>
      <c r="F62" s="1"/>
      <c r="H62" s="114"/>
      <c r="I62" s="114"/>
      <c r="J62" s="114"/>
      <c r="K62" s="51"/>
      <c r="O62" s="49"/>
      <c r="P62" s="49"/>
      <c r="Q62" s="49"/>
      <c r="R62" s="49"/>
      <c r="S62" s="49"/>
      <c r="T62" s="49"/>
      <c r="U62" s="49"/>
      <c r="V62" s="49"/>
      <c r="W62" s="49"/>
    </row>
    <row r="63" spans="2:23" s="4" customFormat="1" ht="15.75" thickBot="1" x14ac:dyDescent="0.3">
      <c r="B63" s="144" t="s">
        <v>60</v>
      </c>
      <c r="C63" s="145"/>
      <c r="D63" s="146"/>
      <c r="F63" s="115" t="s">
        <v>61</v>
      </c>
      <c r="H63" s="114"/>
      <c r="I63" s="114"/>
      <c r="J63" s="114"/>
      <c r="K63" s="51"/>
      <c r="O63" s="49"/>
      <c r="P63" s="49"/>
      <c r="Q63" s="49"/>
      <c r="R63" s="49"/>
      <c r="S63" s="49"/>
      <c r="T63" s="49"/>
      <c r="U63" s="49"/>
      <c r="V63" s="49"/>
      <c r="W63" s="49"/>
    </row>
    <row r="64" spans="2:23" s="4" customFormat="1" ht="15" customHeight="1" x14ac:dyDescent="0.2">
      <c r="B64" s="147"/>
      <c r="C64" s="148"/>
      <c r="D64" s="149"/>
      <c r="F64" s="144" t="s">
        <v>123</v>
      </c>
      <c r="G64" s="145"/>
      <c r="H64" s="145"/>
      <c r="I64" s="145"/>
      <c r="J64" s="145"/>
      <c r="K64" s="146"/>
      <c r="O64" s="49"/>
      <c r="P64" s="49"/>
      <c r="Q64" s="49"/>
      <c r="R64" s="49"/>
      <c r="S64" s="49"/>
      <c r="T64" s="49"/>
      <c r="U64" s="49"/>
      <c r="V64" s="49"/>
      <c r="W64" s="49"/>
    </row>
    <row r="65" spans="1:23" s="4" customFormat="1" ht="15" customHeight="1" x14ac:dyDescent="0.2">
      <c r="B65" s="147"/>
      <c r="C65" s="148"/>
      <c r="D65" s="149"/>
      <c r="F65" s="147"/>
      <c r="G65" s="148"/>
      <c r="H65" s="148"/>
      <c r="I65" s="148"/>
      <c r="J65" s="148"/>
      <c r="K65" s="149"/>
      <c r="O65" s="49"/>
      <c r="P65" s="49"/>
      <c r="Q65" s="49"/>
      <c r="R65" s="49"/>
      <c r="S65" s="49"/>
      <c r="T65" s="49"/>
      <c r="U65" s="49"/>
      <c r="V65" s="49"/>
      <c r="W65" s="49"/>
    </row>
    <row r="66" spans="1:23" s="4" customFormat="1" ht="15" customHeight="1" x14ac:dyDescent="0.2">
      <c r="B66" s="147"/>
      <c r="C66" s="148"/>
      <c r="D66" s="149"/>
      <c r="F66" s="147"/>
      <c r="G66" s="148"/>
      <c r="H66" s="148"/>
      <c r="I66" s="148"/>
      <c r="J66" s="148"/>
      <c r="K66" s="149"/>
      <c r="O66" s="49"/>
      <c r="P66" s="49"/>
      <c r="Q66" s="49"/>
      <c r="R66" s="49"/>
      <c r="S66" s="49"/>
      <c r="T66" s="49"/>
      <c r="U66" s="49"/>
      <c r="V66" s="49"/>
      <c r="W66" s="49"/>
    </row>
    <row r="67" spans="1:23" s="4" customFormat="1" ht="15" customHeight="1" x14ac:dyDescent="0.2">
      <c r="B67" s="147"/>
      <c r="C67" s="148"/>
      <c r="D67" s="149"/>
      <c r="F67" s="147"/>
      <c r="G67" s="148"/>
      <c r="H67" s="148"/>
      <c r="I67" s="148"/>
      <c r="J67" s="148"/>
      <c r="K67" s="149"/>
      <c r="O67" s="49"/>
      <c r="P67" s="49"/>
      <c r="Q67" s="49"/>
      <c r="R67" s="49"/>
      <c r="S67" s="49"/>
      <c r="T67" s="49"/>
      <c r="U67" s="49"/>
      <c r="V67" s="49"/>
      <c r="W67" s="49"/>
    </row>
    <row r="68" spans="1:23" s="4" customFormat="1" ht="15" customHeight="1" x14ac:dyDescent="0.2">
      <c r="B68" s="147"/>
      <c r="C68" s="148"/>
      <c r="D68" s="149"/>
      <c r="F68" s="147"/>
      <c r="G68" s="148"/>
      <c r="H68" s="148"/>
      <c r="I68" s="148"/>
      <c r="J68" s="148"/>
      <c r="K68" s="149"/>
      <c r="O68" s="49"/>
      <c r="P68" s="49"/>
      <c r="Q68" s="49"/>
      <c r="R68" s="49"/>
      <c r="S68" s="49"/>
      <c r="T68" s="49"/>
      <c r="U68" s="49"/>
      <c r="V68" s="49"/>
      <c r="W68" s="49"/>
    </row>
    <row r="69" spans="1:23" s="4" customFormat="1" ht="15" customHeight="1" thickBot="1" x14ac:dyDescent="0.25">
      <c r="B69" s="150"/>
      <c r="C69" s="151"/>
      <c r="D69" s="152"/>
      <c r="F69" s="150"/>
      <c r="G69" s="151"/>
      <c r="H69" s="151"/>
      <c r="I69" s="151"/>
      <c r="J69" s="151"/>
      <c r="K69" s="152"/>
      <c r="O69" s="49"/>
      <c r="P69" s="49"/>
      <c r="Q69" s="49"/>
      <c r="R69" s="49"/>
      <c r="S69" s="49"/>
      <c r="T69" s="49"/>
      <c r="U69" s="49"/>
      <c r="V69" s="49"/>
      <c r="W69" s="49"/>
    </row>
    <row r="70" spans="1:23" s="4" customFormat="1" ht="31.5" customHeight="1" x14ac:dyDescent="0.25">
      <c r="A70" s="4" t="s">
        <v>62</v>
      </c>
      <c r="B70" s="18" t="s">
        <v>63</v>
      </c>
      <c r="K70" s="54"/>
      <c r="O70" s="49"/>
      <c r="P70" s="49"/>
      <c r="Q70" s="49"/>
      <c r="R70" s="49"/>
      <c r="S70" s="49"/>
      <c r="T70" s="49"/>
      <c r="U70" s="49"/>
      <c r="V70" s="49"/>
      <c r="W70" s="49"/>
    </row>
    <row r="71" spans="1:23" s="4" customFormat="1" x14ac:dyDescent="0.25">
      <c r="B71" s="12"/>
      <c r="C71" s="115"/>
      <c r="K71" s="55"/>
    </row>
    <row r="72" spans="1:23" s="4" customFormat="1" ht="15" customHeight="1" x14ac:dyDescent="0.25">
      <c r="A72" s="56"/>
      <c r="B72" s="57" t="s">
        <v>64</v>
      </c>
      <c r="C72" s="58" t="s">
        <v>65</v>
      </c>
      <c r="D72" s="153" t="s">
        <v>66</v>
      </c>
      <c r="E72" s="153"/>
      <c r="F72" s="153"/>
      <c r="G72" s="153"/>
      <c r="H72" s="153"/>
      <c r="I72" s="154" t="s">
        <v>67</v>
      </c>
      <c r="J72" s="154"/>
      <c r="K72" s="154"/>
    </row>
    <row r="73" spans="1:23" s="4" customFormat="1" ht="42" customHeight="1" x14ac:dyDescent="0.25">
      <c r="A73" s="155" t="s">
        <v>68</v>
      </c>
      <c r="B73" s="156"/>
      <c r="C73" s="59">
        <v>695799.61</v>
      </c>
      <c r="D73" s="157"/>
      <c r="E73" s="158"/>
      <c r="F73" s="158"/>
      <c r="G73" s="158"/>
      <c r="H73" s="159"/>
      <c r="I73" s="117" t="s">
        <v>69</v>
      </c>
      <c r="J73" s="160" t="s">
        <v>70</v>
      </c>
      <c r="K73" s="160"/>
    </row>
    <row r="74" spans="1:23" s="4" customFormat="1" ht="28.5" x14ac:dyDescent="0.2">
      <c r="A74" s="62" t="s">
        <v>71</v>
      </c>
      <c r="B74" s="63" t="s">
        <v>72</v>
      </c>
      <c r="C74" s="59"/>
      <c r="D74" s="161"/>
      <c r="E74" s="161"/>
      <c r="F74" s="161"/>
      <c r="G74" s="161"/>
      <c r="H74" s="161"/>
      <c r="I74" s="14"/>
      <c r="J74" s="142"/>
      <c r="K74" s="142"/>
    </row>
    <row r="75" spans="1:23" s="4" customFormat="1" ht="28.5" customHeight="1" x14ac:dyDescent="0.2">
      <c r="A75" s="62" t="s">
        <v>73</v>
      </c>
      <c r="B75" s="63" t="s">
        <v>74</v>
      </c>
      <c r="C75" s="59">
        <v>-415219.62090402702</v>
      </c>
      <c r="D75" s="139" t="s">
        <v>121</v>
      </c>
      <c r="E75" s="140"/>
      <c r="F75" s="140"/>
      <c r="G75" s="140"/>
      <c r="H75" s="141"/>
      <c r="I75" s="14" t="s">
        <v>20</v>
      </c>
      <c r="J75" s="142"/>
      <c r="K75" s="142"/>
      <c r="L75" s="1"/>
      <c r="M75" s="1"/>
      <c r="N75" s="1"/>
      <c r="O75" s="1"/>
    </row>
    <row r="76" spans="1:23" s="4" customFormat="1" ht="27.95" customHeight="1" x14ac:dyDescent="0.2">
      <c r="A76" s="62" t="s">
        <v>75</v>
      </c>
      <c r="B76" s="63" t="s">
        <v>76</v>
      </c>
      <c r="C76" s="59">
        <v>-182254.99</v>
      </c>
      <c r="D76" s="161" t="s">
        <v>118</v>
      </c>
      <c r="E76" s="161"/>
      <c r="F76" s="161"/>
      <c r="G76" s="161"/>
      <c r="H76" s="161"/>
      <c r="I76" s="14" t="s">
        <v>20</v>
      </c>
      <c r="J76" s="142"/>
      <c r="K76" s="142"/>
      <c r="L76" s="1"/>
      <c r="M76" s="1"/>
      <c r="N76" s="1"/>
      <c r="O76" s="1"/>
    </row>
    <row r="77" spans="1:23" s="4" customFormat="1" ht="28.5" x14ac:dyDescent="0.2">
      <c r="A77" s="62" t="s">
        <v>77</v>
      </c>
      <c r="B77" s="63" t="s">
        <v>78</v>
      </c>
      <c r="C77" s="59"/>
      <c r="D77" s="161"/>
      <c r="E77" s="161"/>
      <c r="F77" s="161"/>
      <c r="G77" s="161"/>
      <c r="H77" s="161"/>
      <c r="I77" s="14"/>
      <c r="J77" s="142"/>
      <c r="K77" s="142"/>
      <c r="L77" s="1"/>
      <c r="M77" s="1"/>
      <c r="N77" s="1"/>
      <c r="O77" s="1"/>
    </row>
    <row r="78" spans="1:23" s="4" customFormat="1" ht="27.95" customHeight="1" x14ac:dyDescent="0.2">
      <c r="A78" s="62" t="s">
        <v>79</v>
      </c>
      <c r="B78" s="63" t="s">
        <v>80</v>
      </c>
      <c r="C78" s="59">
        <v>130953.33</v>
      </c>
      <c r="D78" s="161" t="s">
        <v>119</v>
      </c>
      <c r="E78" s="161"/>
      <c r="F78" s="161"/>
      <c r="G78" s="161"/>
      <c r="H78" s="161"/>
      <c r="I78" s="14" t="s">
        <v>20</v>
      </c>
      <c r="J78" s="142" t="s">
        <v>115</v>
      </c>
      <c r="K78" s="142"/>
      <c r="L78" s="1"/>
      <c r="M78" s="1"/>
      <c r="N78" s="1"/>
      <c r="O78" s="1"/>
    </row>
    <row r="79" spans="1:23" s="4" customFormat="1" ht="28.5" x14ac:dyDescent="0.2">
      <c r="A79" s="62" t="s">
        <v>81</v>
      </c>
      <c r="B79" s="63" t="s">
        <v>82</v>
      </c>
      <c r="C79" s="59"/>
      <c r="D79" s="161"/>
      <c r="E79" s="161"/>
      <c r="F79" s="161"/>
      <c r="G79" s="161"/>
      <c r="H79" s="161"/>
      <c r="I79" s="14"/>
      <c r="J79" s="142"/>
      <c r="K79" s="142"/>
      <c r="L79" s="1"/>
      <c r="M79" s="1"/>
      <c r="N79" s="1"/>
      <c r="O79" s="1"/>
    </row>
    <row r="80" spans="1:23" s="4" customFormat="1" ht="33.75" customHeight="1" x14ac:dyDescent="0.2">
      <c r="A80" s="62">
        <v>4</v>
      </c>
      <c r="B80" s="63" t="s">
        <v>83</v>
      </c>
      <c r="C80" s="59">
        <v>-388178</v>
      </c>
      <c r="D80" s="161" t="s">
        <v>122</v>
      </c>
      <c r="E80" s="161"/>
      <c r="F80" s="161"/>
      <c r="G80" s="161"/>
      <c r="H80" s="161"/>
      <c r="I80" s="14" t="s">
        <v>20</v>
      </c>
      <c r="J80" s="142"/>
      <c r="K80" s="142"/>
      <c r="L80" s="1"/>
      <c r="M80" s="1"/>
      <c r="N80" s="1"/>
      <c r="O80" s="1"/>
    </row>
    <row r="81" spans="1:15" s="4" customFormat="1" ht="27.95" customHeight="1" x14ac:dyDescent="0.2">
      <c r="A81" s="62">
        <v>5</v>
      </c>
      <c r="B81" s="63" t="s">
        <v>84</v>
      </c>
      <c r="C81" s="59"/>
      <c r="D81" s="161"/>
      <c r="E81" s="161"/>
      <c r="F81" s="161"/>
      <c r="G81" s="161"/>
      <c r="H81" s="161"/>
      <c r="I81" s="14"/>
      <c r="J81" s="142"/>
      <c r="K81" s="142"/>
      <c r="L81" s="1"/>
      <c r="M81" s="1"/>
      <c r="N81" s="1"/>
      <c r="O81" s="1"/>
    </row>
    <row r="82" spans="1:15" s="4" customFormat="1" ht="28.5" x14ac:dyDescent="0.2">
      <c r="A82" s="64">
        <v>6</v>
      </c>
      <c r="B82" s="65" t="s">
        <v>85</v>
      </c>
      <c r="C82" s="59"/>
      <c r="D82" s="161"/>
      <c r="E82" s="161"/>
      <c r="F82" s="161"/>
      <c r="G82" s="161"/>
      <c r="H82" s="161"/>
      <c r="I82" s="14"/>
      <c r="J82" s="142"/>
      <c r="K82" s="142"/>
    </row>
    <row r="83" spans="1:15" s="4" customFormat="1" ht="14.25" x14ac:dyDescent="0.2">
      <c r="A83" s="64">
        <v>7</v>
      </c>
      <c r="B83" s="66" t="s">
        <v>86</v>
      </c>
      <c r="C83" s="59"/>
      <c r="D83" s="161"/>
      <c r="E83" s="161"/>
      <c r="F83" s="161"/>
      <c r="G83" s="161"/>
      <c r="H83" s="161"/>
      <c r="I83" s="14"/>
      <c r="J83" s="142"/>
      <c r="K83" s="142"/>
    </row>
    <row r="84" spans="1:15" s="4" customFormat="1" ht="14.1" customHeight="1" x14ac:dyDescent="0.2">
      <c r="A84" s="64">
        <v>8</v>
      </c>
      <c r="B84" s="66" t="s">
        <v>87</v>
      </c>
      <c r="C84" s="59">
        <v>196392</v>
      </c>
      <c r="D84" s="161" t="s">
        <v>116</v>
      </c>
      <c r="E84" s="161"/>
      <c r="F84" s="161"/>
      <c r="G84" s="161"/>
      <c r="H84" s="161"/>
      <c r="I84" s="14" t="s">
        <v>20</v>
      </c>
      <c r="J84" s="142"/>
      <c r="K84" s="142"/>
    </row>
    <row r="85" spans="1:15" s="4" customFormat="1" ht="14.25" customHeight="1" x14ac:dyDescent="0.2">
      <c r="A85" s="64">
        <v>9</v>
      </c>
      <c r="B85" s="67"/>
      <c r="C85" s="59">
        <v>251646</v>
      </c>
      <c r="D85" s="139" t="s">
        <v>114</v>
      </c>
      <c r="E85" s="140"/>
      <c r="F85" s="140"/>
      <c r="G85" s="140"/>
      <c r="H85" s="141"/>
      <c r="I85" s="14" t="s">
        <v>20</v>
      </c>
      <c r="J85" s="142"/>
      <c r="K85" s="142"/>
    </row>
    <row r="86" spans="1:15" s="4" customFormat="1" ht="14.25" x14ac:dyDescent="0.2">
      <c r="A86" s="64">
        <v>10</v>
      </c>
      <c r="B86" s="67"/>
      <c r="C86" s="59"/>
      <c r="D86" s="161"/>
      <c r="E86" s="161"/>
      <c r="F86" s="161"/>
      <c r="G86" s="161"/>
      <c r="H86" s="161"/>
      <c r="I86" s="14"/>
      <c r="J86" s="142"/>
      <c r="K86" s="142"/>
    </row>
    <row r="87" spans="1:15" s="4" customFormat="1" x14ac:dyDescent="0.2">
      <c r="A87" s="68"/>
      <c r="B87" s="68"/>
      <c r="C87" s="68"/>
      <c r="D87" s="68"/>
      <c r="E87" s="68"/>
      <c r="F87" s="68"/>
      <c r="G87" s="68"/>
      <c r="H87" s="162"/>
      <c r="I87" s="163"/>
      <c r="J87" s="163"/>
      <c r="K87" s="69"/>
    </row>
    <row r="88" spans="1:15" s="4" customFormat="1" ht="30" x14ac:dyDescent="0.25">
      <c r="A88" s="4" t="s">
        <v>88</v>
      </c>
      <c r="B88" s="17" t="s">
        <v>89</v>
      </c>
      <c r="C88" s="70">
        <f>SUM(C73:C86)</f>
        <v>289138.32909597299</v>
      </c>
      <c r="D88" s="71"/>
      <c r="E88" s="71"/>
      <c r="F88" s="71"/>
      <c r="G88" s="71"/>
    </row>
    <row r="89" spans="1:15" s="4" customFormat="1" ht="30" x14ac:dyDescent="0.25">
      <c r="B89" s="72" t="s">
        <v>90</v>
      </c>
      <c r="C89" s="73">
        <f>K53</f>
        <v>173686.74123976333</v>
      </c>
      <c r="D89" s="71"/>
      <c r="E89" s="71"/>
      <c r="F89" s="71"/>
      <c r="G89" s="71"/>
    </row>
    <row r="90" spans="1:15" s="4" customFormat="1" x14ac:dyDescent="0.25">
      <c r="B90" s="72" t="s">
        <v>91</v>
      </c>
      <c r="C90" s="69">
        <f>C88-C89</f>
        <v>115451.58785620966</v>
      </c>
    </row>
    <row r="91" spans="1:15" s="4" customFormat="1" ht="30.75" thickBot="1" x14ac:dyDescent="0.3">
      <c r="B91" s="72" t="s">
        <v>92</v>
      </c>
      <c r="C91" s="74">
        <f>IF(ISERROR(C90/J53),0,C90/J53)</f>
        <v>1.0147207505503637E-2</v>
      </c>
      <c r="D91" s="75" t="str">
        <f>IF(AND(C91&lt;0.01,C91&gt;-0.01),"","Unresolved differences of greater than + or - 1% should be explained")</f>
        <v>Unresolved differences of greater than + or - 1% should be explained</v>
      </c>
      <c r="F91" s="1"/>
    </row>
    <row r="92" spans="1:15" s="4" customFormat="1" ht="15.75" thickTop="1" x14ac:dyDescent="0.25">
      <c r="B92" s="115"/>
      <c r="C92" s="76"/>
      <c r="D92" s="77"/>
      <c r="G92" s="1"/>
    </row>
    <row r="93" spans="1:15" s="4" customFormat="1" x14ac:dyDescent="0.25">
      <c r="B93" s="115"/>
      <c r="C93" s="76"/>
      <c r="D93" s="78"/>
    </row>
    <row r="94" spans="1:15" s="4" customFormat="1" ht="14.25" x14ac:dyDescent="0.2"/>
    <row r="95" spans="1:15" s="4" customFormat="1" ht="14.25" x14ac:dyDescent="0.2">
      <c r="C95" s="105"/>
    </row>
  </sheetData>
  <mergeCells count="43">
    <mergeCell ref="D85:H85"/>
    <mergeCell ref="J85:K85"/>
    <mergeCell ref="D86:H86"/>
    <mergeCell ref="J86:K86"/>
    <mergeCell ref="H87:J87"/>
    <mergeCell ref="D82:H82"/>
    <mergeCell ref="J82:K82"/>
    <mergeCell ref="D83:H83"/>
    <mergeCell ref="J83:K83"/>
    <mergeCell ref="D84:H84"/>
    <mergeCell ref="J84:K84"/>
    <mergeCell ref="D79:H79"/>
    <mergeCell ref="J79:K79"/>
    <mergeCell ref="D80:H80"/>
    <mergeCell ref="J80:K80"/>
    <mergeCell ref="D81:H81"/>
    <mergeCell ref="J81:K81"/>
    <mergeCell ref="D76:H76"/>
    <mergeCell ref="J76:K76"/>
    <mergeCell ref="D77:H77"/>
    <mergeCell ref="J77:K77"/>
    <mergeCell ref="D78:H78"/>
    <mergeCell ref="J78:K78"/>
    <mergeCell ref="D75:H75"/>
    <mergeCell ref="J75:K75"/>
    <mergeCell ref="H59:J59"/>
    <mergeCell ref="H60:J60"/>
    <mergeCell ref="H61:J61"/>
    <mergeCell ref="B63:D69"/>
    <mergeCell ref="F64:K69"/>
    <mergeCell ref="D72:H72"/>
    <mergeCell ref="I72:K72"/>
    <mergeCell ref="A73:B73"/>
    <mergeCell ref="D73:H73"/>
    <mergeCell ref="J73:K73"/>
    <mergeCell ref="D74:H74"/>
    <mergeCell ref="J74:K74"/>
    <mergeCell ref="H58:J58"/>
    <mergeCell ref="B13:C13"/>
    <mergeCell ref="E13:F13"/>
    <mergeCell ref="B19:H19"/>
    <mergeCell ref="B25:F25"/>
    <mergeCell ref="B27:F27"/>
  </mergeCells>
  <dataValidations count="2">
    <dataValidation type="list" allowBlank="1" showInputMessage="1" showErrorMessage="1" sqref="G27 G25 I74:I86" xr:uid="{CD392F41-ADDA-4661-AB3B-D0F90CCBA2A2}">
      <formula1>"Yes,No"</formula1>
    </dataValidation>
    <dataValidation type="list" sqref="C23" xr:uid="{A7AD38F6-2118-4882-B76C-FE7DC714EE61}">
      <formula1>"1st Estimate, 2nd Estimate, Actual"</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635E8-0DE0-4C6F-BF5D-803A8215ECE7}">
  <dimension ref="A12:W95"/>
  <sheetViews>
    <sheetView tabSelected="1" topLeftCell="A36" zoomScaleNormal="100" workbookViewId="0">
      <selection activeCell="F64" sqref="F64:K69"/>
    </sheetView>
  </sheetViews>
  <sheetFormatPr defaultColWidth="9" defaultRowHeight="15" x14ac:dyDescent="0.25"/>
  <cols>
    <col min="1" max="1" width="10.28515625" customWidth="1"/>
    <col min="2" max="2" width="53.85546875" customWidth="1"/>
    <col min="3" max="3" width="28" customWidth="1"/>
    <col min="4" max="4" width="23" customWidth="1"/>
    <col min="5" max="5" width="19" customWidth="1"/>
    <col min="6" max="6" width="24.28515625" customWidth="1"/>
    <col min="7" max="7" width="15.85546875" customWidth="1"/>
    <col min="8" max="8" width="18" customWidth="1"/>
    <col min="9" max="11" width="20.5703125" customWidth="1"/>
    <col min="12" max="12" width="10.5703125" customWidth="1"/>
    <col min="13" max="13" width="21.42578125" customWidth="1"/>
    <col min="14" max="14" width="11.85546875" customWidth="1"/>
    <col min="15" max="15" width="10.5703125" customWidth="1"/>
    <col min="16" max="16" width="10.28515625" customWidth="1"/>
    <col min="17" max="18" width="10.5703125" customWidth="1"/>
    <col min="19" max="19" width="11" customWidth="1"/>
    <col min="20" max="20" width="13" customWidth="1"/>
    <col min="21" max="21" width="10.85546875" customWidth="1"/>
    <col min="22" max="22" width="11.28515625" customWidth="1"/>
  </cols>
  <sheetData>
    <row r="12" spans="1:19" s="4" customFormat="1" x14ac:dyDescent="0.2">
      <c r="A12" s="1" t="s">
        <v>0</v>
      </c>
      <c r="B12" s="2" t="s">
        <v>1</v>
      </c>
      <c r="C12" s="3"/>
      <c r="D12" s="3"/>
      <c r="E12" s="3"/>
      <c r="F12" s="3"/>
      <c r="I12" s="1"/>
      <c r="J12" s="1"/>
      <c r="K12" s="1"/>
      <c r="L12" s="1"/>
      <c r="M12" s="1"/>
      <c r="N12" s="1"/>
      <c r="O12" s="1"/>
      <c r="P12" s="1"/>
      <c r="Q12" s="1"/>
      <c r="R12" s="1"/>
      <c r="S12" s="1"/>
    </row>
    <row r="13" spans="1:19" s="4" customFormat="1" x14ac:dyDescent="0.2">
      <c r="A13" s="1"/>
      <c r="B13" s="129" t="s">
        <v>2</v>
      </c>
      <c r="C13" s="129"/>
      <c r="D13" s="5">
        <v>2017</v>
      </c>
      <c r="E13" s="133"/>
      <c r="F13" s="134"/>
      <c r="G13" s="1"/>
      <c r="H13" s="1"/>
      <c r="I13" s="1"/>
      <c r="J13" s="1"/>
      <c r="K13" s="1"/>
      <c r="L13" s="1"/>
      <c r="M13" s="1"/>
      <c r="N13" s="1"/>
      <c r="O13" s="1"/>
      <c r="P13" s="1"/>
      <c r="Q13" s="1"/>
    </row>
    <row r="14" spans="1:19" s="4" customFormat="1" thickBot="1" x14ac:dyDescent="0.25">
      <c r="A14" s="1"/>
      <c r="B14" s="6" t="s">
        <v>3</v>
      </c>
      <c r="C14" s="6" t="s">
        <v>4</v>
      </c>
      <c r="D14" s="7">
        <f>'Consumption 2017-2019'!D5</f>
        <v>241651142</v>
      </c>
      <c r="E14" s="8" t="s">
        <v>5</v>
      </c>
      <c r="F14" s="9">
        <v>1</v>
      </c>
      <c r="G14" s="1"/>
      <c r="H14" s="1"/>
      <c r="I14" s="1"/>
      <c r="J14" s="1"/>
      <c r="K14" s="1"/>
      <c r="L14" s="1"/>
      <c r="M14" s="1"/>
      <c r="N14" s="1"/>
      <c r="O14" s="1"/>
      <c r="P14" s="1"/>
      <c r="Q14" s="1"/>
    </row>
    <row r="15" spans="1:19" s="4" customFormat="1" thickBot="1" x14ac:dyDescent="0.25">
      <c r="B15" s="6" t="s">
        <v>6</v>
      </c>
      <c r="C15" s="6" t="s">
        <v>7</v>
      </c>
      <c r="D15" s="7">
        <f>'Consumption 2017-2019'!D6</f>
        <v>118904271</v>
      </c>
      <c r="E15" s="8" t="s">
        <v>5</v>
      </c>
      <c r="F15" s="10">
        <f>IFERROR(D15/$D$14,0)</f>
        <v>0.49204928234934642</v>
      </c>
    </row>
    <row r="16" spans="1:19" s="4" customFormat="1" thickBot="1" x14ac:dyDescent="0.25">
      <c r="B16" s="6" t="s">
        <v>8</v>
      </c>
      <c r="C16" s="6" t="s">
        <v>9</v>
      </c>
      <c r="D16" s="7">
        <f>'Consumption 2017-2019'!D7</f>
        <v>122746871</v>
      </c>
      <c r="E16" s="8" t="s">
        <v>5</v>
      </c>
      <c r="F16" s="10">
        <f>IFERROR(D16/$D$14,0)</f>
        <v>0.50795071765065358</v>
      </c>
    </row>
    <row r="17" spans="1:8" s="4" customFormat="1" thickBot="1" x14ac:dyDescent="0.25">
      <c r="B17" s="6" t="s">
        <v>10</v>
      </c>
      <c r="C17" s="6" t="s">
        <v>11</v>
      </c>
      <c r="D17" s="7">
        <f>'Consumption 2017-2019'!D8</f>
        <v>22177196.651082911</v>
      </c>
      <c r="E17" s="8" t="s">
        <v>5</v>
      </c>
      <c r="F17" s="10">
        <f>IFERROR(D17/$D$14,0)</f>
        <v>9.1773605816780748E-2</v>
      </c>
    </row>
    <row r="18" spans="1:8" s="4" customFormat="1" thickBot="1" x14ac:dyDescent="0.25">
      <c r="B18" s="6" t="s">
        <v>12</v>
      </c>
      <c r="C18" s="6" t="s">
        <v>13</v>
      </c>
      <c r="D18" s="7">
        <f>'Consumption 2017-2019'!D9</f>
        <v>100569674.3489171</v>
      </c>
      <c r="E18" s="8" t="s">
        <v>5</v>
      </c>
      <c r="F18" s="10">
        <f>IFERROR(D18/$D$14,0)</f>
        <v>0.4161771118338729</v>
      </c>
    </row>
    <row r="19" spans="1:8" s="4" customFormat="1" ht="34.5" customHeight="1" x14ac:dyDescent="0.2">
      <c r="B19" s="135" t="s">
        <v>14</v>
      </c>
      <c r="C19" s="135"/>
      <c r="D19" s="135"/>
      <c r="E19" s="135"/>
      <c r="F19" s="135"/>
      <c r="G19" s="136"/>
      <c r="H19" s="136"/>
    </row>
    <row r="20" spans="1:8" s="4" customFormat="1" ht="14.25" x14ac:dyDescent="0.2">
      <c r="D20" s="11"/>
    </row>
    <row r="21" spans="1:8" s="4" customFormat="1" x14ac:dyDescent="0.25">
      <c r="A21" s="4" t="s">
        <v>15</v>
      </c>
      <c r="B21" s="12" t="s">
        <v>16</v>
      </c>
    </row>
    <row r="22" spans="1:8" s="4" customFormat="1" x14ac:dyDescent="0.25">
      <c r="B22" s="12"/>
    </row>
    <row r="23" spans="1:8" s="4" customFormat="1" x14ac:dyDescent="0.25">
      <c r="B23" s="13" t="s">
        <v>17</v>
      </c>
      <c r="C23" s="14" t="s">
        <v>18</v>
      </c>
      <c r="E23" s="1"/>
    </row>
    <row r="24" spans="1:8" s="4" customFormat="1" ht="14.25" x14ac:dyDescent="0.2">
      <c r="E24" s="1"/>
    </row>
    <row r="25" spans="1:8" s="4" customFormat="1" x14ac:dyDescent="0.25">
      <c r="B25" s="137" t="s">
        <v>19</v>
      </c>
      <c r="C25" s="138"/>
      <c r="D25" s="138"/>
      <c r="E25" s="138"/>
      <c r="F25" s="138"/>
      <c r="G25" s="14" t="s">
        <v>20</v>
      </c>
    </row>
    <row r="26" spans="1:8" s="4" customFormat="1" ht="14.25" x14ac:dyDescent="0.2">
      <c r="E26" s="1"/>
    </row>
    <row r="27" spans="1:8" s="4" customFormat="1" x14ac:dyDescent="0.25">
      <c r="B27" s="137" t="s">
        <v>21</v>
      </c>
      <c r="C27" s="138"/>
      <c r="D27" s="138"/>
      <c r="E27" s="138"/>
      <c r="F27" s="138"/>
      <c r="G27" s="14" t="s">
        <v>20</v>
      </c>
    </row>
    <row r="28" spans="1:8" s="4" customFormat="1" ht="15" customHeight="1" x14ac:dyDescent="0.25">
      <c r="B28" s="17"/>
      <c r="C28" s="17"/>
      <c r="D28" s="17"/>
      <c r="E28" s="17"/>
      <c r="F28" s="17"/>
      <c r="G28" s="17"/>
      <c r="H28" s="17"/>
    </row>
    <row r="29" spans="1:8" s="4" customFormat="1" ht="15" hidden="1" customHeight="1" x14ac:dyDescent="0.25">
      <c r="B29" s="17"/>
      <c r="C29" s="17"/>
      <c r="D29" s="17"/>
      <c r="E29" s="17"/>
      <c r="F29" s="17"/>
      <c r="G29" s="17"/>
      <c r="H29" s="17"/>
    </row>
    <row r="30" spans="1:8" s="4" customFormat="1" ht="15" hidden="1" customHeight="1" x14ac:dyDescent="0.25">
      <c r="B30" s="17"/>
      <c r="C30" s="17"/>
      <c r="D30" s="17"/>
      <c r="E30" s="17"/>
      <c r="F30" s="17"/>
      <c r="G30" s="17"/>
      <c r="H30" s="17"/>
    </row>
    <row r="31" spans="1:8" s="4" customFormat="1" ht="15" hidden="1" customHeight="1" x14ac:dyDescent="0.25">
      <c r="B31" s="17"/>
      <c r="C31" s="17"/>
      <c r="D31" s="17"/>
      <c r="E31" s="17"/>
      <c r="F31" s="17"/>
      <c r="G31" s="17"/>
      <c r="H31" s="17"/>
    </row>
    <row r="32" spans="1:8" s="4" customFormat="1" ht="14.25" hidden="1" customHeight="1" x14ac:dyDescent="0.25">
      <c r="B32" s="17"/>
      <c r="C32" s="17"/>
      <c r="D32" s="17"/>
      <c r="E32" s="17"/>
      <c r="F32" s="17"/>
      <c r="G32" s="17"/>
      <c r="H32" s="17"/>
    </row>
    <row r="33" spans="1:23" s="4" customFormat="1" ht="14.25" hidden="1" customHeight="1" x14ac:dyDescent="0.25">
      <c r="B33" s="17"/>
      <c r="C33" s="17"/>
      <c r="D33" s="17"/>
      <c r="E33" s="17"/>
      <c r="F33" s="17"/>
      <c r="G33" s="17"/>
      <c r="H33" s="17"/>
    </row>
    <row r="34" spans="1:23" s="4" customFormat="1" ht="14.25" hidden="1" customHeight="1" x14ac:dyDescent="0.25">
      <c r="B34" s="17"/>
      <c r="C34" s="17"/>
      <c r="D34" s="17"/>
      <c r="E34" s="17"/>
      <c r="F34" s="17"/>
      <c r="G34" s="17"/>
      <c r="H34" s="17"/>
    </row>
    <row r="35" spans="1:23" s="4" customFormat="1" ht="14.25" hidden="1" customHeight="1" x14ac:dyDescent="0.25">
      <c r="B35" s="17"/>
      <c r="C35" s="17"/>
      <c r="D35" s="17"/>
      <c r="E35" s="17"/>
      <c r="F35" s="17"/>
      <c r="G35" s="17"/>
      <c r="H35" s="17"/>
    </row>
    <row r="36" spans="1:23" s="4" customFormat="1" ht="14.25" x14ac:dyDescent="0.2"/>
    <row r="37" spans="1:23" s="4" customFormat="1" x14ac:dyDescent="0.25">
      <c r="A37" s="4" t="s">
        <v>22</v>
      </c>
      <c r="B37" s="18" t="s">
        <v>23</v>
      </c>
      <c r="C37" s="12"/>
    </row>
    <row r="38" spans="1:23" s="4" customFormat="1" ht="15.75" thickBot="1" x14ac:dyDescent="0.3">
      <c r="B38" s="13" t="s">
        <v>2</v>
      </c>
      <c r="C38" s="19">
        <v>2017</v>
      </c>
      <c r="D38" s="1"/>
      <c r="E38" s="1"/>
      <c r="F38" s="20"/>
      <c r="G38" s="13"/>
      <c r="H38" s="13"/>
      <c r="I38" s="13"/>
      <c r="J38" s="13"/>
      <c r="K38" s="13"/>
      <c r="N38"/>
      <c r="O38"/>
      <c r="P38"/>
      <c r="Q38"/>
      <c r="R38"/>
      <c r="S38"/>
      <c r="T38"/>
      <c r="U38"/>
      <c r="V38"/>
      <c r="W38"/>
    </row>
    <row r="39" spans="1:23" s="17" customFormat="1" ht="80.25" customHeight="1" thickBot="1" x14ac:dyDescent="0.3">
      <c r="B39" s="21" t="s">
        <v>24</v>
      </c>
      <c r="C39" s="22" t="s">
        <v>25</v>
      </c>
      <c r="D39" s="23" t="s">
        <v>26</v>
      </c>
      <c r="E39" s="24" t="s">
        <v>27</v>
      </c>
      <c r="F39" s="25" t="s">
        <v>28</v>
      </c>
      <c r="G39" s="26" t="s">
        <v>29</v>
      </c>
      <c r="H39" s="26" t="s">
        <v>30</v>
      </c>
      <c r="I39" s="26" t="s">
        <v>31</v>
      </c>
      <c r="J39" s="26" t="s">
        <v>32</v>
      </c>
      <c r="K39" s="27" t="s">
        <v>33</v>
      </c>
      <c r="N39"/>
      <c r="O39"/>
      <c r="P39"/>
      <c r="Q39"/>
      <c r="R39"/>
      <c r="S39"/>
      <c r="T39"/>
      <c r="U39"/>
      <c r="V39"/>
      <c r="W39"/>
    </row>
    <row r="40" spans="1:23" s="17" customFormat="1" x14ac:dyDescent="0.25">
      <c r="B40" s="28"/>
      <c r="C40" s="29" t="s">
        <v>34</v>
      </c>
      <c r="D40" s="29" t="s">
        <v>35</v>
      </c>
      <c r="E40" s="30" t="s">
        <v>36</v>
      </c>
      <c r="F40" s="30" t="s">
        <v>37</v>
      </c>
      <c r="G40" s="30" t="s">
        <v>38</v>
      </c>
      <c r="H40" s="31" t="s">
        <v>39</v>
      </c>
      <c r="I40" s="30" t="s">
        <v>40</v>
      </c>
      <c r="J40" s="31" t="s">
        <v>41</v>
      </c>
      <c r="K40" s="32" t="s">
        <v>42</v>
      </c>
      <c r="N40"/>
      <c r="O40"/>
      <c r="P40"/>
      <c r="Q40"/>
      <c r="R40"/>
      <c r="S40"/>
      <c r="T40"/>
      <c r="U40"/>
      <c r="V40"/>
      <c r="W40"/>
    </row>
    <row r="41" spans="1:23" s="4" customFormat="1" x14ac:dyDescent="0.25">
      <c r="B41" s="33" t="s">
        <v>43</v>
      </c>
      <c r="C41" s="34">
        <v>11200169.079182591</v>
      </c>
      <c r="D41" s="34"/>
      <c r="E41" s="35"/>
      <c r="F41" s="36">
        <f>C41-D41+E41</f>
        <v>11200169.079182591</v>
      </c>
      <c r="G41" s="37">
        <f>IF($C$23="1st Estimate",'[3]GA Rates'!J4,IF($C$23="2nd Estimate",'[3]GA Rates'!K4,IF($C$23="Actual",'[3]GA Rates'!L4,0)))</f>
        <v>6.6869999999999999E-2</v>
      </c>
      <c r="H41" s="38">
        <f>F41*G41</f>
        <v>748955.30632493983</v>
      </c>
      <c r="I41" s="37">
        <f>'[3]GA Rates'!L4</f>
        <v>8.2269999999999996E-2</v>
      </c>
      <c r="J41" s="39">
        <f>F41*I41</f>
        <v>921437.91014435177</v>
      </c>
      <c r="K41" s="40">
        <f>J41-H41</f>
        <v>172482.60381941195</v>
      </c>
      <c r="M41" s="38"/>
      <c r="N41"/>
      <c r="O41"/>
      <c r="P41"/>
      <c r="Q41"/>
      <c r="R41"/>
      <c r="S41"/>
      <c r="T41"/>
      <c r="U41"/>
      <c r="V41"/>
      <c r="W41"/>
    </row>
    <row r="42" spans="1:23" s="4" customFormat="1" x14ac:dyDescent="0.25">
      <c r="B42" s="33" t="s">
        <v>44</v>
      </c>
      <c r="C42" s="34">
        <v>10048201.13126247</v>
      </c>
      <c r="D42" s="34"/>
      <c r="E42" s="35"/>
      <c r="F42" s="36">
        <f t="shared" ref="F42:F52" si="0">C42-D42+E42</f>
        <v>10048201.13126247</v>
      </c>
      <c r="G42" s="37">
        <f>IF($C$23="1st Estimate",'[3]GA Rates'!J5,IF($C$23="2nd Estimate",'[3]GA Rates'!K5,IF($C$23="Actual",'[3]GA Rates'!L5,0)))</f>
        <v>0.10559</v>
      </c>
      <c r="H42" s="38">
        <f t="shared" ref="H42:H52" si="1">F42*G42</f>
        <v>1060989.5574500042</v>
      </c>
      <c r="I42" s="37">
        <f>'[3]GA Rates'!L5</f>
        <v>8.6389999999999995E-2</v>
      </c>
      <c r="J42" s="39">
        <f t="shared" ref="J42:J52" si="2">F42*I42</f>
        <v>868064.09572976478</v>
      </c>
      <c r="K42" s="40">
        <f t="shared" ref="K42:K52" si="3">J42-H42</f>
        <v>-192925.46172023937</v>
      </c>
      <c r="M42" s="38"/>
      <c r="N42"/>
      <c r="O42"/>
      <c r="P42"/>
      <c r="Q42"/>
      <c r="R42"/>
      <c r="S42"/>
      <c r="T42"/>
      <c r="U42"/>
      <c r="V42"/>
      <c r="W42"/>
    </row>
    <row r="43" spans="1:23" s="4" customFormat="1" x14ac:dyDescent="0.25">
      <c r="B43" s="33" t="s">
        <v>45</v>
      </c>
      <c r="C43" s="34">
        <v>11289465.039023675</v>
      </c>
      <c r="D43" s="34"/>
      <c r="E43" s="35"/>
      <c r="F43" s="36">
        <f t="shared" si="0"/>
        <v>11289465.039023675</v>
      </c>
      <c r="G43" s="37">
        <f>IF($C$23="1st Estimate",'[3]GA Rates'!J6,IF($C$23="2nd Estimate",'[3]GA Rates'!K6,IF($C$23="Actual",'[3]GA Rates'!L6,0)))</f>
        <v>8.4089999999999998E-2</v>
      </c>
      <c r="H43" s="38">
        <f t="shared" si="1"/>
        <v>949331.11513150076</v>
      </c>
      <c r="I43" s="37">
        <f>'[3]GA Rates'!L6</f>
        <v>7.1349999999999997E-2</v>
      </c>
      <c r="J43" s="39">
        <f t="shared" si="2"/>
        <v>805503.33053433918</v>
      </c>
      <c r="K43" s="40">
        <f t="shared" si="3"/>
        <v>-143827.78459716158</v>
      </c>
      <c r="M43" s="38"/>
      <c r="N43"/>
      <c r="O43"/>
      <c r="P43"/>
      <c r="Q43"/>
      <c r="R43"/>
      <c r="S43"/>
      <c r="T43"/>
      <c r="U43"/>
      <c r="V43"/>
      <c r="W43"/>
    </row>
    <row r="44" spans="1:23" s="4" customFormat="1" x14ac:dyDescent="0.25">
      <c r="B44" s="33" t="s">
        <v>46</v>
      </c>
      <c r="C44" s="34">
        <v>10362504.666332578</v>
      </c>
      <c r="D44" s="34"/>
      <c r="E44" s="35"/>
      <c r="F44" s="36">
        <f t="shared" si="0"/>
        <v>10362504.666332578</v>
      </c>
      <c r="G44" s="37">
        <f>IF($C$23="1st Estimate",'[3]GA Rates'!J7,IF($C$23="2nd Estimate",'[3]GA Rates'!K7,IF($C$23="Actual",'[3]GA Rates'!L7,0)))</f>
        <v>6.8739999999999996E-2</v>
      </c>
      <c r="H44" s="38">
        <f t="shared" si="1"/>
        <v>712318.57076370134</v>
      </c>
      <c r="I44" s="37">
        <f>'[3]GA Rates'!L7</f>
        <v>0.10778</v>
      </c>
      <c r="J44" s="39">
        <f t="shared" si="2"/>
        <v>1116870.7529373253</v>
      </c>
      <c r="K44" s="40">
        <f t="shared" si="3"/>
        <v>404552.18217362394</v>
      </c>
      <c r="M44" s="38"/>
      <c r="N44"/>
      <c r="O44"/>
      <c r="P44"/>
      <c r="Q44"/>
      <c r="R44"/>
      <c r="S44"/>
      <c r="T44"/>
      <c r="U44"/>
      <c r="V44"/>
      <c r="W44"/>
    </row>
    <row r="45" spans="1:23" s="4" customFormat="1" x14ac:dyDescent="0.25">
      <c r="B45" s="33" t="s">
        <v>47</v>
      </c>
      <c r="C45" s="34">
        <v>10832366.987008635</v>
      </c>
      <c r="D45" s="34"/>
      <c r="E45" s="35"/>
      <c r="F45" s="36">
        <f t="shared" si="0"/>
        <v>10832366.987008635</v>
      </c>
      <c r="G45" s="37">
        <f>IF($C$23="1st Estimate",'[3]GA Rates'!J8,IF($C$23="2nd Estimate",'[3]GA Rates'!K8,IF($C$23="Actual",'[3]GA Rates'!L8,0)))</f>
        <v>0.10623</v>
      </c>
      <c r="H45" s="38">
        <f t="shared" si="1"/>
        <v>1150722.3450299273</v>
      </c>
      <c r="I45" s="37">
        <f>'[3]GA Rates'!L8</f>
        <v>0.12307</v>
      </c>
      <c r="J45" s="39">
        <f t="shared" si="2"/>
        <v>1333139.4050911528</v>
      </c>
      <c r="K45" s="40">
        <f t="shared" si="3"/>
        <v>182417.06006122543</v>
      </c>
      <c r="M45" s="38"/>
      <c r="N45"/>
      <c r="O45"/>
      <c r="P45"/>
      <c r="Q45"/>
      <c r="R45"/>
      <c r="S45"/>
      <c r="T45"/>
      <c r="U45"/>
      <c r="V45"/>
      <c r="W45"/>
    </row>
    <row r="46" spans="1:23" s="4" customFormat="1" x14ac:dyDescent="0.25">
      <c r="B46" s="33" t="s">
        <v>48</v>
      </c>
      <c r="C46" s="34">
        <v>10261323.918387791</v>
      </c>
      <c r="D46" s="34"/>
      <c r="E46" s="35"/>
      <c r="F46" s="36">
        <f t="shared" si="0"/>
        <v>10261323.918387791</v>
      </c>
      <c r="G46" s="37">
        <f>IF($C$23="1st Estimate",'[3]GA Rates'!J9,IF($C$23="2nd Estimate",'[3]GA Rates'!K9,IF($C$23="Actual",'[3]GA Rates'!L9,0)))</f>
        <v>0.11954000000000001</v>
      </c>
      <c r="H46" s="38">
        <f t="shared" si="1"/>
        <v>1226638.6612040766</v>
      </c>
      <c r="I46" s="37">
        <f>'[3]GA Rates'!L9</f>
        <v>0.11848</v>
      </c>
      <c r="J46" s="39">
        <f t="shared" si="2"/>
        <v>1215761.6578505854</v>
      </c>
      <c r="K46" s="40">
        <f t="shared" si="3"/>
        <v>-10877.003353491193</v>
      </c>
      <c r="M46" s="38"/>
      <c r="N46"/>
      <c r="O46"/>
      <c r="P46"/>
      <c r="Q46"/>
      <c r="R46"/>
      <c r="S46"/>
      <c r="T46"/>
      <c r="U46"/>
      <c r="V46"/>
      <c r="W46"/>
    </row>
    <row r="47" spans="1:23" s="4" customFormat="1" x14ac:dyDescent="0.25">
      <c r="B47" s="82" t="s">
        <v>49</v>
      </c>
      <c r="C47" s="83">
        <f>10735399.4387646-4188483.94</f>
        <v>6546915.4987646006</v>
      </c>
      <c r="D47" s="84"/>
      <c r="E47" s="83"/>
      <c r="F47" s="85">
        <f t="shared" si="0"/>
        <v>6546915.4987646006</v>
      </c>
      <c r="G47" s="86">
        <f>IF($C$23="1st Estimate",'[3]GA Rates'!J10,IF($C$23="2nd Estimate",'[3]GA Rates'!K10,IF($C$23="Actual",'[3]GA Rates'!L10,0)))</f>
        <v>0.10651999999999999</v>
      </c>
      <c r="H47" s="87">
        <f t="shared" si="1"/>
        <v>697377.43892840517</v>
      </c>
      <c r="I47" s="86">
        <f>'[3]GA Rates'!L10</f>
        <v>0.1128</v>
      </c>
      <c r="J47" s="87">
        <f t="shared" si="2"/>
        <v>738492.06826064689</v>
      </c>
      <c r="K47" s="88">
        <f t="shared" si="3"/>
        <v>41114.629332241719</v>
      </c>
      <c r="M47" s="38"/>
      <c r="N47"/>
      <c r="O47"/>
      <c r="P47"/>
      <c r="Q47"/>
      <c r="R47"/>
      <c r="S47"/>
      <c r="T47"/>
      <c r="U47"/>
      <c r="V47"/>
      <c r="W47"/>
    </row>
    <row r="48" spans="1:23" s="4" customFormat="1" x14ac:dyDescent="0.25">
      <c r="B48" s="82" t="s">
        <v>50</v>
      </c>
      <c r="C48" s="83">
        <f>11076364.0772782-4171755.72</f>
        <v>6904608.3572781999</v>
      </c>
      <c r="D48" s="84"/>
      <c r="E48" s="83"/>
      <c r="F48" s="85">
        <f t="shared" si="0"/>
        <v>6904608.3572781999</v>
      </c>
      <c r="G48" s="86">
        <f>IF($C$23="1st Estimate",'[3]GA Rates'!J11,IF($C$23="2nd Estimate",'[3]GA Rates'!K11,IF($C$23="Actual",'[3]GA Rates'!L11,0)))</f>
        <v>0.115</v>
      </c>
      <c r="H48" s="87">
        <f t="shared" si="1"/>
        <v>794029.96108699299</v>
      </c>
      <c r="I48" s="86">
        <f>'[3]GA Rates'!L11</f>
        <v>0.10109</v>
      </c>
      <c r="J48" s="87">
        <f t="shared" si="2"/>
        <v>697986.85883725318</v>
      </c>
      <c r="K48" s="88">
        <f t="shared" si="3"/>
        <v>-96043.102249739808</v>
      </c>
      <c r="M48" s="38"/>
      <c r="N48"/>
      <c r="O48"/>
      <c r="P48"/>
      <c r="Q48"/>
      <c r="R48"/>
      <c r="S48"/>
      <c r="T48"/>
      <c r="U48"/>
      <c r="V48"/>
      <c r="W48"/>
    </row>
    <row r="49" spans="2:23" s="4" customFormat="1" x14ac:dyDescent="0.25">
      <c r="B49" s="33" t="s">
        <v>51</v>
      </c>
      <c r="C49" s="35">
        <v>6956729.9620543011</v>
      </c>
      <c r="D49" s="34"/>
      <c r="E49" s="35"/>
      <c r="F49" s="36">
        <f t="shared" si="0"/>
        <v>6956729.9620543011</v>
      </c>
      <c r="G49" s="37">
        <f>IF($C$23="1st Estimate",'[3]GA Rates'!J12,IF($C$23="2nd Estimate",'[3]GA Rates'!K12,IF($C$23="Actual",'[3]GA Rates'!L12,0)))</f>
        <v>0.12739</v>
      </c>
      <c r="H49" s="38">
        <f t="shared" si="1"/>
        <v>886217.82986609743</v>
      </c>
      <c r="I49" s="37">
        <f>'[3]GA Rates'!L12</f>
        <v>8.8639999999999997E-2</v>
      </c>
      <c r="J49" s="39">
        <f t="shared" si="2"/>
        <v>616644.54383649328</v>
      </c>
      <c r="K49" s="40">
        <f t="shared" si="3"/>
        <v>-269573.28602960415</v>
      </c>
      <c r="M49" s="38"/>
      <c r="N49"/>
      <c r="O49"/>
      <c r="P49"/>
      <c r="Q49"/>
      <c r="R49"/>
      <c r="S49"/>
      <c r="T49"/>
      <c r="U49"/>
      <c r="V49"/>
      <c r="W49"/>
    </row>
    <row r="50" spans="2:23" s="4" customFormat="1" x14ac:dyDescent="0.25">
      <c r="B50" s="33" t="s">
        <v>52</v>
      </c>
      <c r="C50" s="35">
        <v>6739619.6688682232</v>
      </c>
      <c r="D50" s="34"/>
      <c r="E50" s="35"/>
      <c r="F50" s="36">
        <f t="shared" si="0"/>
        <v>6739619.6688682232</v>
      </c>
      <c r="G50" s="37">
        <f>IF($C$23="1st Estimate",'[3]GA Rates'!J13,IF($C$23="2nd Estimate",'[3]GA Rates'!K13,IF($C$23="Actual",'[3]GA Rates'!L13,0)))</f>
        <v>0.10212</v>
      </c>
      <c r="H50" s="38">
        <f t="shared" si="1"/>
        <v>688249.96058482293</v>
      </c>
      <c r="I50" s="37">
        <f>'[3]GA Rates'!L13</f>
        <v>0.12562999999999999</v>
      </c>
      <c r="J50" s="39">
        <f t="shared" si="2"/>
        <v>846698.41899991478</v>
      </c>
      <c r="K50" s="40">
        <f t="shared" si="3"/>
        <v>158448.45841509185</v>
      </c>
      <c r="M50" s="38"/>
      <c r="N50"/>
      <c r="O50"/>
      <c r="P50"/>
      <c r="Q50"/>
      <c r="R50"/>
      <c r="S50"/>
      <c r="T50"/>
      <c r="U50"/>
      <c r="V50"/>
      <c r="W50"/>
    </row>
    <row r="51" spans="2:23" s="4" customFormat="1" x14ac:dyDescent="0.25">
      <c r="B51" s="33" t="s">
        <v>53</v>
      </c>
      <c r="C51" s="35">
        <v>6793019.4606413357</v>
      </c>
      <c r="D51" s="34"/>
      <c r="E51" s="35"/>
      <c r="F51" s="36">
        <f t="shared" si="0"/>
        <v>6793019.4606413357</v>
      </c>
      <c r="G51" s="37">
        <f>IF($C$23="1st Estimate",'[3]GA Rates'!J14,IF($C$23="2nd Estimate",'[3]GA Rates'!K14,IF($C$23="Actual",'[3]GA Rates'!L14,0)))</f>
        <v>0.11164</v>
      </c>
      <c r="H51" s="38">
        <f t="shared" si="1"/>
        <v>758372.69258599868</v>
      </c>
      <c r="I51" s="37">
        <f>'[3]GA Rates'!L14</f>
        <v>9.7040000000000001E-2</v>
      </c>
      <c r="J51" s="39">
        <f t="shared" si="2"/>
        <v>659194.60846063518</v>
      </c>
      <c r="K51" s="40">
        <f t="shared" si="3"/>
        <v>-99178.084125363501</v>
      </c>
      <c r="M51" s="38"/>
      <c r="N51"/>
      <c r="O51"/>
      <c r="P51"/>
      <c r="Q51"/>
      <c r="R51"/>
      <c r="S51"/>
      <c r="T51"/>
      <c r="U51"/>
      <c r="V51"/>
      <c r="W51"/>
    </row>
    <row r="52" spans="2:23" s="4" customFormat="1" x14ac:dyDescent="0.25">
      <c r="B52" s="33" t="s">
        <v>54</v>
      </c>
      <c r="C52" s="41">
        <v>7208575.0534029994</v>
      </c>
      <c r="D52" s="34"/>
      <c r="E52" s="35"/>
      <c r="F52" s="36">
        <f t="shared" si="0"/>
        <v>7208575.0534029994</v>
      </c>
      <c r="G52" s="37">
        <f>IF($C$23="1st Estimate",'[3]GA Rates'!J15,IF($C$23="2nd Estimate",'[3]GA Rates'!K15,IF($C$23="Actual",'[3]GA Rates'!L15,0)))</f>
        <v>8.3909999999999998E-2</v>
      </c>
      <c r="H52" s="38">
        <f t="shared" si="1"/>
        <v>604871.53273104562</v>
      </c>
      <c r="I52" s="37">
        <f>'[3]GA Rates'!L15</f>
        <v>9.2069999999999999E-2</v>
      </c>
      <c r="J52" s="39">
        <f t="shared" si="2"/>
        <v>663693.5051668142</v>
      </c>
      <c r="K52" s="40">
        <f t="shared" si="3"/>
        <v>58821.972435768577</v>
      </c>
      <c r="M52" s="38"/>
      <c r="N52"/>
      <c r="O52"/>
      <c r="P52"/>
      <c r="Q52"/>
      <c r="R52"/>
      <c r="S52"/>
      <c r="T52"/>
      <c r="U52"/>
      <c r="V52"/>
      <c r="W52"/>
    </row>
    <row r="53" spans="2:23" s="4" customFormat="1" ht="30.75" thickBot="1" x14ac:dyDescent="0.3">
      <c r="B53" s="42" t="s">
        <v>55</v>
      </c>
      <c r="C53" s="43">
        <f>SUM(C41:C52)</f>
        <v>105143498.82220741</v>
      </c>
      <c r="D53" s="43">
        <f>SUM(D41:D52)</f>
        <v>0</v>
      </c>
      <c r="E53" s="43">
        <f>SUM(E41:E52)</f>
        <v>0</v>
      </c>
      <c r="F53" s="43">
        <f>SUM(F41:F52)</f>
        <v>105143498.82220741</v>
      </c>
      <c r="G53" s="44"/>
      <c r="H53" s="45">
        <f>SUM(H41:H52)</f>
        <v>10278074.971687511</v>
      </c>
      <c r="I53" s="44"/>
      <c r="J53" s="45">
        <f>SUM(J41:J52)</f>
        <v>10483487.155849276</v>
      </c>
      <c r="K53" s="46">
        <f>SUM(K41:K52)</f>
        <v>205412.18416176387</v>
      </c>
      <c r="M53" s="45"/>
      <c r="N53"/>
      <c r="O53"/>
      <c r="P53"/>
      <c r="Q53"/>
      <c r="R53"/>
      <c r="S53"/>
      <c r="T53"/>
      <c r="U53"/>
      <c r="V53"/>
      <c r="W53"/>
    </row>
    <row r="54" spans="2:23" s="4" customFormat="1" ht="14.25" x14ac:dyDescent="0.2">
      <c r="C54" s="105"/>
      <c r="F54" s="1"/>
      <c r="G54" s="1"/>
      <c r="I54" s="1"/>
      <c r="J54" s="1"/>
      <c r="K54" s="48"/>
      <c r="O54" s="49"/>
      <c r="P54" s="49"/>
      <c r="Q54" s="49"/>
      <c r="R54" s="49"/>
      <c r="S54" s="49"/>
      <c r="T54" s="49"/>
      <c r="U54" s="49"/>
      <c r="V54" s="49"/>
      <c r="W54" s="49"/>
    </row>
    <row r="55" spans="2:23" s="4" customFormat="1" hidden="1" x14ac:dyDescent="0.25">
      <c r="G55" s="1"/>
      <c r="H55"/>
      <c r="I55"/>
      <c r="J55"/>
      <c r="K55"/>
      <c r="O55" s="49"/>
      <c r="P55" s="49"/>
      <c r="Q55" s="49"/>
      <c r="R55" s="49"/>
      <c r="S55" s="49"/>
      <c r="T55" s="49"/>
      <c r="U55" s="49"/>
      <c r="V55" s="49"/>
      <c r="W55" s="49"/>
    </row>
    <row r="56" spans="2:23" s="4" customFormat="1" hidden="1" x14ac:dyDescent="0.25">
      <c r="G56" s="1"/>
      <c r="H56"/>
      <c r="I56"/>
      <c r="J56"/>
      <c r="K56"/>
      <c r="O56" s="49"/>
      <c r="P56" s="49"/>
      <c r="Q56" s="49"/>
      <c r="R56" s="49"/>
      <c r="S56" s="49"/>
      <c r="T56" s="49"/>
      <c r="U56" s="49"/>
      <c r="V56" s="49"/>
      <c r="W56" s="49"/>
    </row>
    <row r="57" spans="2:23" s="4" customFormat="1" hidden="1" x14ac:dyDescent="0.25">
      <c r="G57" s="1"/>
      <c r="H57"/>
      <c r="I57"/>
      <c r="J57"/>
      <c r="K57"/>
      <c r="O57" s="49"/>
      <c r="P57" s="49"/>
      <c r="Q57" s="49"/>
      <c r="R57" s="49"/>
      <c r="S57" s="49"/>
      <c r="T57" s="49"/>
      <c r="U57" s="49"/>
      <c r="V57" s="49"/>
      <c r="W57" s="49"/>
    </row>
    <row r="58" spans="2:23" s="4" customFormat="1" hidden="1" x14ac:dyDescent="0.25">
      <c r="G58" s="1"/>
      <c r="H58" s="132"/>
      <c r="I58" s="132"/>
      <c r="J58" s="132"/>
      <c r="K58" s="50"/>
      <c r="O58" s="49"/>
      <c r="P58" s="49"/>
      <c r="Q58" s="49"/>
      <c r="R58" s="49"/>
      <c r="S58" s="49"/>
      <c r="T58" s="49"/>
      <c r="U58" s="49"/>
      <c r="V58" s="49"/>
      <c r="W58" s="49"/>
    </row>
    <row r="59" spans="2:23" s="4" customFormat="1" x14ac:dyDescent="0.25">
      <c r="H59" s="143" t="s">
        <v>56</v>
      </c>
      <c r="I59" s="143"/>
      <c r="J59" s="143"/>
      <c r="K59" s="51">
        <f>IFERROR(F53/D18,0)</f>
        <v>1.0454791616150794</v>
      </c>
      <c r="O59" s="49"/>
      <c r="P59" s="49"/>
      <c r="Q59" s="49"/>
      <c r="R59" s="49"/>
      <c r="S59" s="49"/>
      <c r="T59" s="49"/>
      <c r="U59" s="49"/>
      <c r="V59" s="49"/>
      <c r="W59" s="49"/>
    </row>
    <row r="60" spans="2:23" s="4" customFormat="1" ht="30" customHeight="1" x14ac:dyDescent="0.25">
      <c r="H60" s="143" t="s">
        <v>57</v>
      </c>
      <c r="I60" s="143"/>
      <c r="J60" s="143"/>
      <c r="K60" s="52">
        <v>1.0481</v>
      </c>
      <c r="O60" s="49"/>
      <c r="P60" s="49"/>
      <c r="Q60" s="49"/>
      <c r="R60" s="49"/>
      <c r="S60" s="49"/>
      <c r="T60" s="49"/>
      <c r="U60" s="49"/>
      <c r="V60" s="49"/>
      <c r="W60" s="49"/>
    </row>
    <row r="61" spans="2:23" s="4" customFormat="1" x14ac:dyDescent="0.25">
      <c r="H61" s="143" t="s">
        <v>58</v>
      </c>
      <c r="I61" s="143"/>
      <c r="J61" s="143"/>
      <c r="K61" s="51">
        <f>K59-K60</f>
        <v>-2.6208383849206651E-3</v>
      </c>
      <c r="O61" s="49"/>
      <c r="P61" s="49"/>
      <c r="Q61" s="49"/>
      <c r="R61" s="49"/>
      <c r="S61" s="49"/>
      <c r="T61" s="49"/>
      <c r="U61" s="49"/>
      <c r="V61" s="49"/>
      <c r="W61" s="49"/>
    </row>
    <row r="62" spans="2:23" s="4" customFormat="1" ht="15.75" thickBot="1" x14ac:dyDescent="0.3">
      <c r="B62" s="13" t="s">
        <v>59</v>
      </c>
      <c r="H62" s="53"/>
      <c r="I62" s="53"/>
      <c r="J62" s="53"/>
      <c r="K62" s="51"/>
      <c r="O62" s="49"/>
      <c r="P62" s="49"/>
      <c r="Q62" s="49"/>
      <c r="R62" s="49"/>
      <c r="S62" s="49"/>
      <c r="T62" s="49"/>
      <c r="U62" s="49"/>
      <c r="V62" s="49"/>
      <c r="W62" s="49"/>
    </row>
    <row r="63" spans="2:23" s="4" customFormat="1" ht="15.75" thickBot="1" x14ac:dyDescent="0.3">
      <c r="B63" s="144" t="s">
        <v>60</v>
      </c>
      <c r="C63" s="145"/>
      <c r="D63" s="146"/>
      <c r="F63" s="13" t="s">
        <v>61</v>
      </c>
      <c r="H63" s="53"/>
      <c r="I63" s="53"/>
      <c r="J63" s="53"/>
      <c r="K63" s="51"/>
      <c r="O63" s="49"/>
      <c r="P63" s="49"/>
      <c r="Q63" s="49"/>
      <c r="R63" s="49"/>
      <c r="S63" s="49"/>
      <c r="T63" s="49"/>
      <c r="U63" s="49"/>
      <c r="V63" s="49"/>
      <c r="W63" s="49"/>
    </row>
    <row r="64" spans="2:23" s="4" customFormat="1" ht="15" customHeight="1" x14ac:dyDescent="0.2">
      <c r="B64" s="147"/>
      <c r="C64" s="148"/>
      <c r="D64" s="149"/>
      <c r="F64" s="144" t="s">
        <v>123</v>
      </c>
      <c r="G64" s="145"/>
      <c r="H64" s="145"/>
      <c r="I64" s="145"/>
      <c r="J64" s="145"/>
      <c r="K64" s="146"/>
      <c r="O64" s="49"/>
      <c r="P64" s="49"/>
      <c r="Q64" s="49"/>
      <c r="R64" s="49"/>
      <c r="S64" s="49"/>
      <c r="T64" s="49"/>
      <c r="U64" s="49"/>
      <c r="V64" s="49"/>
      <c r="W64" s="49"/>
    </row>
    <row r="65" spans="1:23" s="4" customFormat="1" ht="15" customHeight="1" x14ac:dyDescent="0.2">
      <c r="B65" s="147"/>
      <c r="C65" s="148"/>
      <c r="D65" s="149"/>
      <c r="F65" s="147"/>
      <c r="G65" s="148"/>
      <c r="H65" s="148"/>
      <c r="I65" s="148"/>
      <c r="J65" s="148"/>
      <c r="K65" s="149"/>
      <c r="O65" s="49"/>
      <c r="P65" s="49"/>
      <c r="Q65" s="49"/>
      <c r="R65" s="49"/>
      <c r="S65" s="49"/>
      <c r="T65" s="49"/>
      <c r="U65" s="49"/>
      <c r="V65" s="49"/>
      <c r="W65" s="49"/>
    </row>
    <row r="66" spans="1:23" s="4" customFormat="1" ht="15" customHeight="1" x14ac:dyDescent="0.2">
      <c r="B66" s="147"/>
      <c r="C66" s="148"/>
      <c r="D66" s="149"/>
      <c r="F66" s="147"/>
      <c r="G66" s="148"/>
      <c r="H66" s="148"/>
      <c r="I66" s="148"/>
      <c r="J66" s="148"/>
      <c r="K66" s="149"/>
      <c r="O66" s="49"/>
      <c r="P66" s="49"/>
      <c r="Q66" s="49"/>
      <c r="R66" s="49"/>
      <c r="S66" s="49"/>
      <c r="T66" s="49"/>
      <c r="U66" s="49"/>
      <c r="V66" s="49"/>
      <c r="W66" s="49"/>
    </row>
    <row r="67" spans="1:23" s="4" customFormat="1" ht="15" customHeight="1" x14ac:dyDescent="0.2">
      <c r="B67" s="147"/>
      <c r="C67" s="148"/>
      <c r="D67" s="149"/>
      <c r="F67" s="147"/>
      <c r="G67" s="148"/>
      <c r="H67" s="148"/>
      <c r="I67" s="148"/>
      <c r="J67" s="148"/>
      <c r="K67" s="149"/>
      <c r="O67" s="49"/>
      <c r="P67" s="49"/>
      <c r="Q67" s="49"/>
      <c r="R67" s="49"/>
      <c r="S67" s="49"/>
      <c r="T67" s="49"/>
      <c r="U67" s="49"/>
      <c r="V67" s="49"/>
      <c r="W67" s="49"/>
    </row>
    <row r="68" spans="1:23" s="4" customFormat="1" ht="15" customHeight="1" x14ac:dyDescent="0.2">
      <c r="B68" s="147"/>
      <c r="C68" s="148"/>
      <c r="D68" s="149"/>
      <c r="F68" s="147"/>
      <c r="G68" s="148"/>
      <c r="H68" s="148"/>
      <c r="I68" s="148"/>
      <c r="J68" s="148"/>
      <c r="K68" s="149"/>
      <c r="O68" s="49"/>
      <c r="P68" s="49"/>
      <c r="Q68" s="49"/>
      <c r="R68" s="49"/>
      <c r="S68" s="49"/>
      <c r="T68" s="49"/>
      <c r="U68" s="49"/>
      <c r="V68" s="49"/>
      <c r="W68" s="49"/>
    </row>
    <row r="69" spans="1:23" s="4" customFormat="1" ht="15" customHeight="1" thickBot="1" x14ac:dyDescent="0.25">
      <c r="B69" s="150"/>
      <c r="C69" s="151"/>
      <c r="D69" s="152"/>
      <c r="F69" s="150"/>
      <c r="G69" s="151"/>
      <c r="H69" s="151"/>
      <c r="I69" s="151"/>
      <c r="J69" s="151"/>
      <c r="K69" s="152"/>
      <c r="O69" s="49"/>
      <c r="P69" s="49"/>
      <c r="Q69" s="49"/>
      <c r="R69" s="49"/>
      <c r="S69" s="49"/>
      <c r="T69" s="49"/>
      <c r="U69" s="49"/>
      <c r="V69" s="49"/>
      <c r="W69" s="49"/>
    </row>
    <row r="70" spans="1:23" s="4" customFormat="1" ht="31.5" customHeight="1" x14ac:dyDescent="0.25">
      <c r="A70" s="4" t="s">
        <v>62</v>
      </c>
      <c r="B70" s="18" t="s">
        <v>63</v>
      </c>
      <c r="K70" s="54"/>
      <c r="O70" s="49"/>
      <c r="P70" s="49"/>
      <c r="Q70" s="49"/>
      <c r="R70" s="49"/>
      <c r="S70" s="49"/>
      <c r="T70" s="49"/>
      <c r="U70" s="49"/>
      <c r="V70" s="49"/>
      <c r="W70" s="49"/>
    </row>
    <row r="71" spans="1:23" s="4" customFormat="1" x14ac:dyDescent="0.25">
      <c r="B71" s="12"/>
      <c r="C71" s="13"/>
      <c r="K71" s="55"/>
    </row>
    <row r="72" spans="1:23" s="4" customFormat="1" ht="15" customHeight="1" x14ac:dyDescent="0.25">
      <c r="A72" s="56"/>
      <c r="B72" s="57" t="s">
        <v>64</v>
      </c>
      <c r="C72" s="58" t="s">
        <v>65</v>
      </c>
      <c r="D72" s="153" t="s">
        <v>66</v>
      </c>
      <c r="E72" s="153"/>
      <c r="F72" s="153"/>
      <c r="G72" s="153"/>
      <c r="H72" s="153"/>
      <c r="I72" s="154" t="s">
        <v>67</v>
      </c>
      <c r="J72" s="154"/>
      <c r="K72" s="154"/>
    </row>
    <row r="73" spans="1:23" s="4" customFormat="1" ht="42" customHeight="1" x14ac:dyDescent="0.25">
      <c r="A73" s="155" t="s">
        <v>68</v>
      </c>
      <c r="B73" s="156"/>
      <c r="C73" s="59">
        <v>695799.61</v>
      </c>
      <c r="D73" s="157"/>
      <c r="E73" s="158"/>
      <c r="F73" s="158"/>
      <c r="G73" s="158"/>
      <c r="H73" s="159"/>
      <c r="I73" s="60" t="s">
        <v>69</v>
      </c>
      <c r="J73" s="160" t="s">
        <v>70</v>
      </c>
      <c r="K73" s="160"/>
    </row>
    <row r="74" spans="1:23" s="4" customFormat="1" ht="28.5" x14ac:dyDescent="0.2">
      <c r="A74" s="62" t="s">
        <v>71</v>
      </c>
      <c r="B74" s="63" t="s">
        <v>72</v>
      </c>
      <c r="C74" s="59"/>
      <c r="D74" s="161"/>
      <c r="E74" s="161"/>
      <c r="F74" s="161"/>
      <c r="G74" s="161"/>
      <c r="H74" s="161"/>
      <c r="I74" s="14"/>
      <c r="J74" s="142"/>
      <c r="K74" s="142"/>
    </row>
    <row r="75" spans="1:23" s="4" customFormat="1" ht="28.5" customHeight="1" x14ac:dyDescent="0.2">
      <c r="A75" s="62" t="s">
        <v>73</v>
      </c>
      <c r="B75" s="63" t="s">
        <v>74</v>
      </c>
      <c r="C75" s="59">
        <v>-415219.62090402702</v>
      </c>
      <c r="D75" s="139" t="s">
        <v>121</v>
      </c>
      <c r="E75" s="140"/>
      <c r="F75" s="140"/>
      <c r="G75" s="140"/>
      <c r="H75" s="141"/>
      <c r="I75" s="14" t="s">
        <v>20</v>
      </c>
      <c r="J75" s="142"/>
      <c r="K75" s="142"/>
      <c r="L75" s="1"/>
      <c r="M75" s="1"/>
      <c r="N75" s="1"/>
      <c r="O75" s="1"/>
    </row>
    <row r="76" spans="1:23" s="4" customFormat="1" ht="28.5" customHeight="1" x14ac:dyDescent="0.2">
      <c r="A76" s="62" t="s">
        <v>75</v>
      </c>
      <c r="B76" s="63" t="s">
        <v>76</v>
      </c>
      <c r="C76" s="59">
        <v>-182254.99</v>
      </c>
      <c r="D76" s="161" t="s">
        <v>118</v>
      </c>
      <c r="E76" s="161"/>
      <c r="F76" s="161"/>
      <c r="G76" s="161"/>
      <c r="H76" s="161"/>
      <c r="I76" s="14" t="s">
        <v>20</v>
      </c>
      <c r="J76" s="142"/>
      <c r="K76" s="142"/>
      <c r="L76" s="1"/>
      <c r="M76" s="1"/>
      <c r="N76" s="1"/>
      <c r="O76" s="1"/>
    </row>
    <row r="77" spans="1:23" s="4" customFormat="1" ht="28.5" x14ac:dyDescent="0.2">
      <c r="A77" s="62" t="s">
        <v>77</v>
      </c>
      <c r="B77" s="63" t="s">
        <v>78</v>
      </c>
      <c r="C77" s="59"/>
      <c r="D77" s="161"/>
      <c r="E77" s="161"/>
      <c r="F77" s="161"/>
      <c r="G77" s="161"/>
      <c r="H77" s="161"/>
      <c r="I77" s="14"/>
      <c r="J77" s="142"/>
      <c r="K77" s="142"/>
      <c r="L77" s="1"/>
      <c r="M77" s="1"/>
      <c r="N77" s="1"/>
      <c r="O77" s="1"/>
    </row>
    <row r="78" spans="1:23" s="4" customFormat="1" ht="28.5" customHeight="1" x14ac:dyDescent="0.2">
      <c r="A78" s="62" t="s">
        <v>79</v>
      </c>
      <c r="B78" s="63" t="s">
        <v>80</v>
      </c>
      <c r="C78" s="59">
        <v>130953.33</v>
      </c>
      <c r="D78" s="161" t="s">
        <v>119</v>
      </c>
      <c r="E78" s="161"/>
      <c r="F78" s="161"/>
      <c r="G78" s="161"/>
      <c r="H78" s="161"/>
      <c r="I78" s="14" t="s">
        <v>20</v>
      </c>
      <c r="J78" s="142" t="s">
        <v>115</v>
      </c>
      <c r="K78" s="142"/>
      <c r="L78" s="1"/>
      <c r="M78" s="1"/>
      <c r="N78" s="1"/>
      <c r="O78" s="1"/>
    </row>
    <row r="79" spans="1:23" s="4" customFormat="1" ht="28.5" x14ac:dyDescent="0.2">
      <c r="A79" s="62" t="s">
        <v>81</v>
      </c>
      <c r="B79" s="63" t="s">
        <v>82</v>
      </c>
      <c r="C79" s="59"/>
      <c r="D79" s="161"/>
      <c r="E79" s="161"/>
      <c r="F79" s="161"/>
      <c r="G79" s="161"/>
      <c r="H79" s="161"/>
      <c r="I79" s="14"/>
      <c r="J79" s="142"/>
      <c r="K79" s="142"/>
      <c r="L79" s="1"/>
      <c r="M79" s="1"/>
      <c r="N79" s="1"/>
      <c r="O79" s="1"/>
    </row>
    <row r="80" spans="1:23" s="4" customFormat="1" ht="33.75" customHeight="1" x14ac:dyDescent="0.2">
      <c r="A80" s="62">
        <v>4</v>
      </c>
      <c r="B80" s="63" t="s">
        <v>83</v>
      </c>
      <c r="C80" s="59">
        <v>-388178</v>
      </c>
      <c r="D80" s="161" t="s">
        <v>122</v>
      </c>
      <c r="E80" s="161"/>
      <c r="F80" s="161"/>
      <c r="G80" s="161"/>
      <c r="H80" s="161"/>
      <c r="I80" s="14" t="s">
        <v>20</v>
      </c>
      <c r="J80" s="142"/>
      <c r="K80" s="142"/>
      <c r="L80" s="1"/>
      <c r="M80" s="1"/>
      <c r="N80" s="1"/>
      <c r="O80" s="1"/>
    </row>
    <row r="81" spans="1:15" s="4" customFormat="1" ht="28.5" x14ac:dyDescent="0.2">
      <c r="A81" s="62">
        <v>5</v>
      </c>
      <c r="B81" s="63" t="s">
        <v>84</v>
      </c>
      <c r="C81" s="59"/>
      <c r="D81" s="161"/>
      <c r="E81" s="161"/>
      <c r="F81" s="161"/>
      <c r="G81" s="161"/>
      <c r="H81" s="161"/>
      <c r="I81" s="14"/>
      <c r="J81" s="142"/>
      <c r="K81" s="142"/>
      <c r="L81" s="1"/>
      <c r="M81" s="1"/>
      <c r="N81" s="1"/>
      <c r="O81" s="1"/>
    </row>
    <row r="82" spans="1:15" s="4" customFormat="1" ht="28.5" x14ac:dyDescent="0.2">
      <c r="A82" s="64">
        <v>6</v>
      </c>
      <c r="B82" s="65" t="s">
        <v>85</v>
      </c>
      <c r="C82" s="59"/>
      <c r="D82" s="161"/>
      <c r="E82" s="161"/>
      <c r="F82" s="161"/>
      <c r="G82" s="161"/>
      <c r="H82" s="161"/>
      <c r="I82" s="14"/>
      <c r="J82" s="142"/>
      <c r="K82" s="142"/>
    </row>
    <row r="83" spans="1:15" s="4" customFormat="1" ht="14.25" x14ac:dyDescent="0.2">
      <c r="A83" s="64">
        <v>7</v>
      </c>
      <c r="B83" s="66" t="s">
        <v>86</v>
      </c>
      <c r="C83" s="59"/>
      <c r="D83" s="161"/>
      <c r="E83" s="161"/>
      <c r="F83" s="161"/>
      <c r="G83" s="161"/>
      <c r="H83" s="161"/>
      <c r="I83" s="14"/>
      <c r="J83" s="142"/>
      <c r="K83" s="142"/>
    </row>
    <row r="84" spans="1:15" s="4" customFormat="1" ht="14.25" customHeight="1" x14ac:dyDescent="0.2">
      <c r="A84" s="64">
        <v>8</v>
      </c>
      <c r="B84" s="66" t="s">
        <v>87</v>
      </c>
      <c r="C84" s="59">
        <v>196392</v>
      </c>
      <c r="D84" s="161" t="s">
        <v>116</v>
      </c>
      <c r="E84" s="161"/>
      <c r="F84" s="161"/>
      <c r="G84" s="161"/>
      <c r="H84" s="161"/>
      <c r="I84" s="14" t="s">
        <v>20</v>
      </c>
      <c r="J84" s="142"/>
      <c r="K84" s="142"/>
    </row>
    <row r="85" spans="1:15" s="4" customFormat="1" ht="14.25" customHeight="1" x14ac:dyDescent="0.2">
      <c r="A85" s="64">
        <v>9</v>
      </c>
      <c r="B85" s="67"/>
      <c r="C85" s="59">
        <v>251646</v>
      </c>
      <c r="D85" s="139" t="s">
        <v>114</v>
      </c>
      <c r="E85" s="140"/>
      <c r="F85" s="140"/>
      <c r="G85" s="140"/>
      <c r="H85" s="141"/>
      <c r="I85" s="14" t="s">
        <v>20</v>
      </c>
      <c r="J85" s="142"/>
      <c r="K85" s="142"/>
    </row>
    <row r="86" spans="1:15" s="4" customFormat="1" ht="14.25" x14ac:dyDescent="0.2">
      <c r="A86" s="64">
        <v>10</v>
      </c>
      <c r="B86" s="67"/>
      <c r="C86" s="59"/>
      <c r="D86" s="161" t="s">
        <v>94</v>
      </c>
      <c r="E86" s="161"/>
      <c r="F86" s="161"/>
      <c r="G86" s="161"/>
      <c r="H86" s="161"/>
      <c r="I86" s="14"/>
      <c r="J86" s="142"/>
      <c r="K86" s="142"/>
    </row>
    <row r="87" spans="1:15" s="4" customFormat="1" x14ac:dyDescent="0.2">
      <c r="A87" s="68"/>
      <c r="B87" s="68"/>
      <c r="C87" s="68"/>
      <c r="D87" s="68"/>
      <c r="E87" s="68"/>
      <c r="F87" s="68"/>
      <c r="G87" s="68"/>
      <c r="H87" s="162"/>
      <c r="I87" s="163"/>
      <c r="J87" s="163"/>
      <c r="K87" s="69"/>
    </row>
    <row r="88" spans="1:15" s="4" customFormat="1" ht="30" x14ac:dyDescent="0.25">
      <c r="A88" s="4" t="s">
        <v>88</v>
      </c>
      <c r="B88" s="17" t="s">
        <v>89</v>
      </c>
      <c r="C88" s="70">
        <f>SUM(C73:C86)</f>
        <v>289138.32909597299</v>
      </c>
      <c r="D88" s="71"/>
      <c r="E88" s="71"/>
      <c r="F88" s="71"/>
      <c r="G88" s="71"/>
    </row>
    <row r="89" spans="1:15" s="4" customFormat="1" ht="30" x14ac:dyDescent="0.25">
      <c r="B89" s="72" t="s">
        <v>90</v>
      </c>
      <c r="C89" s="73">
        <f>K53</f>
        <v>205412.18416176387</v>
      </c>
      <c r="D89" s="71"/>
      <c r="E89" s="71"/>
      <c r="F89" s="71"/>
      <c r="G89" s="71"/>
    </row>
    <row r="90" spans="1:15" s="4" customFormat="1" x14ac:dyDescent="0.25">
      <c r="B90" s="72" t="s">
        <v>91</v>
      </c>
      <c r="C90" s="69">
        <f>C88-C89</f>
        <v>83726.144934209122</v>
      </c>
    </row>
    <row r="91" spans="1:15" s="4" customFormat="1" ht="30.75" thickBot="1" x14ac:dyDescent="0.3">
      <c r="B91" s="72" t="s">
        <v>92</v>
      </c>
      <c r="C91" s="74">
        <f>IF(ISERROR(C90/J53),0,C90/J53)</f>
        <v>7.9864785151660157E-3</v>
      </c>
      <c r="D91" s="75" t="str">
        <f>IF(AND(C91&lt;0.01,C91&gt;-0.01),"","Unresolved differences of greater than + or - 1% should be explained")</f>
        <v/>
      </c>
      <c r="F91" s="1"/>
    </row>
    <row r="92" spans="1:15" s="4" customFormat="1" ht="15.75" thickTop="1" x14ac:dyDescent="0.25">
      <c r="B92" s="13"/>
      <c r="C92" s="76"/>
      <c r="D92" s="77"/>
      <c r="G92" s="1"/>
    </row>
    <row r="93" spans="1:15" s="4" customFormat="1" x14ac:dyDescent="0.25">
      <c r="B93" s="13"/>
      <c r="C93" s="76"/>
      <c r="D93" s="78"/>
    </row>
    <row r="94" spans="1:15" s="4" customFormat="1" ht="14.25" x14ac:dyDescent="0.2"/>
    <row r="95" spans="1:15" s="4" customFormat="1" ht="14.25" x14ac:dyDescent="0.2"/>
  </sheetData>
  <mergeCells count="43">
    <mergeCell ref="H58:J58"/>
    <mergeCell ref="B13:C13"/>
    <mergeCell ref="E13:F13"/>
    <mergeCell ref="B19:H19"/>
    <mergeCell ref="B25:F25"/>
    <mergeCell ref="B27:F27"/>
    <mergeCell ref="D75:H75"/>
    <mergeCell ref="J75:K75"/>
    <mergeCell ref="H59:J59"/>
    <mergeCell ref="H60:J60"/>
    <mergeCell ref="H61:J61"/>
    <mergeCell ref="B63:D69"/>
    <mergeCell ref="F64:K69"/>
    <mergeCell ref="D72:H72"/>
    <mergeCell ref="I72:K72"/>
    <mergeCell ref="A73:B73"/>
    <mergeCell ref="D73:H73"/>
    <mergeCell ref="J73:K73"/>
    <mergeCell ref="D74:H74"/>
    <mergeCell ref="J74:K74"/>
    <mergeCell ref="D76:H76"/>
    <mergeCell ref="J76:K76"/>
    <mergeCell ref="D77:H77"/>
    <mergeCell ref="J77:K77"/>
    <mergeCell ref="D78:H78"/>
    <mergeCell ref="J78:K78"/>
    <mergeCell ref="D79:H79"/>
    <mergeCell ref="J79:K79"/>
    <mergeCell ref="D80:H80"/>
    <mergeCell ref="J80:K80"/>
    <mergeCell ref="D81:H81"/>
    <mergeCell ref="J81:K81"/>
    <mergeCell ref="D82:H82"/>
    <mergeCell ref="J82:K82"/>
    <mergeCell ref="D83:H83"/>
    <mergeCell ref="J83:K83"/>
    <mergeCell ref="D84:H84"/>
    <mergeCell ref="J84:K84"/>
    <mergeCell ref="D85:H85"/>
    <mergeCell ref="J85:K85"/>
    <mergeCell ref="D86:H86"/>
    <mergeCell ref="J86:K86"/>
    <mergeCell ref="H87:J87"/>
  </mergeCells>
  <dataValidations count="2">
    <dataValidation type="list" sqref="C23" xr:uid="{B4549C51-9D78-4267-91F0-A46716164939}">
      <formula1>"1st Estimate, 2nd Estimate, Actual"</formula1>
    </dataValidation>
    <dataValidation type="list" allowBlank="1" showInputMessage="1" showErrorMessage="1" sqref="G27 G25 I74:I86" xr:uid="{4C47EDE9-FE71-4F14-8DFE-5BD72677DF78}">
      <formula1>"Yes,No"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61903-3E32-41C8-84D0-A506CF4952F2}">
  <dimension ref="A12:W96"/>
  <sheetViews>
    <sheetView topLeftCell="A22" zoomScale="70" zoomScaleNormal="70" workbookViewId="0">
      <selection activeCell="F64" sqref="F64:K69"/>
    </sheetView>
  </sheetViews>
  <sheetFormatPr defaultColWidth="9" defaultRowHeight="15" x14ac:dyDescent="0.25"/>
  <cols>
    <col min="1" max="1" width="10.28515625" style="16" customWidth="1"/>
    <col min="2" max="2" width="53.85546875" style="16" customWidth="1"/>
    <col min="3" max="3" width="28" style="16" customWidth="1"/>
    <col min="4" max="4" width="23" style="16" customWidth="1"/>
    <col min="5" max="5" width="19" style="16" customWidth="1"/>
    <col min="6" max="6" width="24.28515625" style="16" customWidth="1"/>
    <col min="7" max="7" width="15.85546875" style="16" customWidth="1"/>
    <col min="8" max="8" width="18" style="16" customWidth="1"/>
    <col min="9" max="11" width="20.5703125" style="16" customWidth="1"/>
    <col min="12" max="12" width="10.5703125" style="16" customWidth="1"/>
    <col min="13" max="13" width="10.28515625" style="16" customWidth="1"/>
    <col min="14" max="14" width="11.85546875" style="16" customWidth="1"/>
    <col min="15" max="15" width="10.5703125" style="16" customWidth="1"/>
    <col min="16" max="16" width="10.28515625" style="16" customWidth="1"/>
    <col min="17" max="18" width="10.5703125" style="16" customWidth="1"/>
    <col min="19" max="19" width="11" style="16" customWidth="1"/>
    <col min="20" max="20" width="13" style="16" customWidth="1"/>
    <col min="21" max="21" width="10.85546875" style="16" customWidth="1"/>
    <col min="22" max="22" width="11.28515625" style="16" customWidth="1"/>
    <col min="23" max="16384" width="9" style="16"/>
  </cols>
  <sheetData>
    <row r="12" spans="1:19" s="4" customFormat="1" x14ac:dyDescent="0.2">
      <c r="A12" s="1" t="s">
        <v>0</v>
      </c>
      <c r="B12" s="2" t="s">
        <v>1</v>
      </c>
      <c r="C12" s="3"/>
      <c r="D12" s="3"/>
      <c r="E12" s="3"/>
      <c r="F12" s="3"/>
      <c r="I12" s="1"/>
      <c r="J12" s="1"/>
      <c r="K12" s="1"/>
      <c r="L12" s="1"/>
      <c r="M12" s="1"/>
      <c r="N12" s="1"/>
      <c r="O12" s="1"/>
      <c r="P12" s="1"/>
      <c r="Q12" s="1"/>
      <c r="R12" s="1"/>
      <c r="S12" s="1"/>
    </row>
    <row r="13" spans="1:19" s="4" customFormat="1" x14ac:dyDescent="0.2">
      <c r="A13" s="1"/>
      <c r="B13" s="129" t="s">
        <v>2</v>
      </c>
      <c r="C13" s="129"/>
      <c r="D13" s="5">
        <v>2018</v>
      </c>
      <c r="E13" s="133"/>
      <c r="F13" s="134"/>
      <c r="G13" s="1"/>
      <c r="H13" s="1"/>
      <c r="I13" s="1"/>
      <c r="J13" s="1"/>
      <c r="K13" s="1"/>
      <c r="L13" s="1"/>
      <c r="M13" s="1"/>
      <c r="N13" s="1"/>
      <c r="O13" s="1"/>
      <c r="P13" s="1"/>
      <c r="Q13" s="1"/>
    </row>
    <row r="14" spans="1:19" s="4" customFormat="1" thickBot="1" x14ac:dyDescent="0.25">
      <c r="A14" s="1"/>
      <c r="B14" s="6" t="s">
        <v>3</v>
      </c>
      <c r="C14" s="6" t="s">
        <v>4</v>
      </c>
      <c r="D14" s="7">
        <f>+'Consumption 2017-2019'!D26</f>
        <v>253873308</v>
      </c>
      <c r="E14" s="8" t="s">
        <v>5</v>
      </c>
      <c r="F14" s="9">
        <v>1</v>
      </c>
      <c r="G14" s="1"/>
      <c r="H14" s="1"/>
      <c r="I14" s="1"/>
      <c r="J14" s="1"/>
      <c r="K14" s="1"/>
      <c r="L14" s="1"/>
      <c r="M14" s="1"/>
      <c r="N14" s="1"/>
      <c r="O14" s="1"/>
      <c r="P14" s="1"/>
      <c r="Q14" s="1"/>
    </row>
    <row r="15" spans="1:19" s="4" customFormat="1" thickBot="1" x14ac:dyDescent="0.25">
      <c r="B15" s="6" t="s">
        <v>6</v>
      </c>
      <c r="C15" s="6" t="s">
        <v>7</v>
      </c>
      <c r="D15" s="7">
        <f>+'Consumption 2017-2019'!D27</f>
        <v>128799346</v>
      </c>
      <c r="E15" s="8" t="s">
        <v>5</v>
      </c>
      <c r="F15" s="10">
        <f>IFERROR(D15/$D$14,0)</f>
        <v>0.50733709272027916</v>
      </c>
    </row>
    <row r="16" spans="1:19" s="4" customFormat="1" thickBot="1" x14ac:dyDescent="0.25">
      <c r="B16" s="6" t="s">
        <v>8</v>
      </c>
      <c r="C16" s="6" t="s">
        <v>9</v>
      </c>
      <c r="D16" s="7">
        <f>+'Consumption 2017-2019'!D28</f>
        <v>125073962</v>
      </c>
      <c r="E16" s="8" t="s">
        <v>5</v>
      </c>
      <c r="F16" s="10">
        <f>IFERROR(D16/$D$14,0)</f>
        <v>0.49266290727972079</v>
      </c>
    </row>
    <row r="17" spans="1:8" s="4" customFormat="1" thickBot="1" x14ac:dyDescent="0.25">
      <c r="B17" s="6" t="s">
        <v>10</v>
      </c>
      <c r="C17" s="6" t="s">
        <v>11</v>
      </c>
      <c r="D17" s="7">
        <f>+'Consumption 2017-2019'!D29</f>
        <v>48533363.034061633</v>
      </c>
      <c r="E17" s="8" t="s">
        <v>5</v>
      </c>
      <c r="F17" s="10">
        <f>IFERROR(D17/$D$14,0)</f>
        <v>0.19117158639639908</v>
      </c>
    </row>
    <row r="18" spans="1:8" s="4" customFormat="1" thickBot="1" x14ac:dyDescent="0.25">
      <c r="B18" s="6" t="s">
        <v>12</v>
      </c>
      <c r="C18" s="6" t="s">
        <v>13</v>
      </c>
      <c r="D18" s="7">
        <f>+'Consumption 2017-2019'!D30</f>
        <v>76540598.965938359</v>
      </c>
      <c r="E18" s="8" t="s">
        <v>5</v>
      </c>
      <c r="F18" s="10">
        <f>IFERROR(D18/$D$14,0)</f>
        <v>0.3014913208833217</v>
      </c>
    </row>
    <row r="19" spans="1:8" s="4" customFormat="1" ht="34.5" customHeight="1" x14ac:dyDescent="0.2">
      <c r="B19" s="135" t="s">
        <v>14</v>
      </c>
      <c r="C19" s="135"/>
      <c r="D19" s="135"/>
      <c r="E19" s="135"/>
      <c r="F19" s="135"/>
      <c r="G19" s="136"/>
      <c r="H19" s="136"/>
    </row>
    <row r="20" spans="1:8" s="4" customFormat="1" ht="14.25" x14ac:dyDescent="0.2">
      <c r="D20" s="11"/>
    </row>
    <row r="21" spans="1:8" s="4" customFormat="1" x14ac:dyDescent="0.25">
      <c r="A21" s="4" t="s">
        <v>15</v>
      </c>
      <c r="B21" s="12" t="s">
        <v>16</v>
      </c>
    </row>
    <row r="22" spans="1:8" s="4" customFormat="1" x14ac:dyDescent="0.25">
      <c r="B22" s="12"/>
    </row>
    <row r="23" spans="1:8" s="4" customFormat="1" x14ac:dyDescent="0.25">
      <c r="B23" s="15" t="s">
        <v>17</v>
      </c>
      <c r="C23" s="14" t="s">
        <v>18</v>
      </c>
      <c r="E23" s="1"/>
    </row>
    <row r="24" spans="1:8" s="4" customFormat="1" ht="14.25" x14ac:dyDescent="0.2">
      <c r="E24" s="1"/>
    </row>
    <row r="25" spans="1:8" s="4" customFormat="1" x14ac:dyDescent="0.25">
      <c r="B25" s="137" t="s">
        <v>19</v>
      </c>
      <c r="C25" s="138"/>
      <c r="D25" s="138"/>
      <c r="E25" s="138"/>
      <c r="F25" s="138"/>
      <c r="G25" s="14" t="s">
        <v>20</v>
      </c>
    </row>
    <row r="26" spans="1:8" s="4" customFormat="1" ht="14.25" x14ac:dyDescent="0.2">
      <c r="E26" s="1"/>
    </row>
    <row r="27" spans="1:8" s="4" customFormat="1" x14ac:dyDescent="0.25">
      <c r="B27" s="137" t="s">
        <v>21</v>
      </c>
      <c r="C27" s="138"/>
      <c r="D27" s="138"/>
      <c r="E27" s="138"/>
      <c r="F27" s="138"/>
      <c r="G27" s="14" t="s">
        <v>20</v>
      </c>
    </row>
    <row r="28" spans="1:8" s="4" customFormat="1" ht="15" customHeight="1" x14ac:dyDescent="0.25">
      <c r="B28" s="17"/>
      <c r="C28" s="17"/>
      <c r="D28" s="17"/>
      <c r="E28" s="17"/>
      <c r="F28" s="17"/>
      <c r="G28" s="17"/>
      <c r="H28" s="17"/>
    </row>
    <row r="29" spans="1:8" s="4" customFormat="1" ht="15" hidden="1" customHeight="1" x14ac:dyDescent="0.25">
      <c r="B29" s="17"/>
      <c r="C29" s="17"/>
      <c r="D29" s="17"/>
      <c r="E29" s="17"/>
      <c r="F29" s="17"/>
      <c r="G29" s="17"/>
      <c r="H29" s="17"/>
    </row>
    <row r="30" spans="1:8" s="4" customFormat="1" ht="15" hidden="1" customHeight="1" x14ac:dyDescent="0.25">
      <c r="B30" s="17"/>
      <c r="C30" s="17"/>
      <c r="D30" s="17"/>
      <c r="E30" s="17"/>
      <c r="F30" s="17"/>
      <c r="G30" s="17"/>
      <c r="H30" s="17"/>
    </row>
    <row r="31" spans="1:8" s="4" customFormat="1" ht="15" hidden="1" customHeight="1" x14ac:dyDescent="0.25">
      <c r="B31" s="17"/>
      <c r="C31" s="17"/>
      <c r="D31" s="17"/>
      <c r="E31" s="17"/>
      <c r="F31" s="17"/>
      <c r="G31" s="17"/>
      <c r="H31" s="17"/>
    </row>
    <row r="32" spans="1:8" s="4" customFormat="1" ht="14.25" hidden="1" customHeight="1" x14ac:dyDescent="0.25">
      <c r="B32" s="17"/>
      <c r="C32" s="17"/>
      <c r="D32" s="17"/>
      <c r="E32" s="17"/>
      <c r="F32" s="17"/>
      <c r="G32" s="17"/>
      <c r="H32" s="17"/>
    </row>
    <row r="33" spans="1:23" s="4" customFormat="1" ht="14.25" hidden="1" customHeight="1" x14ac:dyDescent="0.25">
      <c r="B33" s="17"/>
      <c r="C33" s="17"/>
      <c r="D33" s="17"/>
      <c r="E33" s="17"/>
      <c r="F33" s="17"/>
      <c r="G33" s="17"/>
      <c r="H33" s="17"/>
    </row>
    <row r="34" spans="1:23" s="4" customFormat="1" ht="14.25" hidden="1" customHeight="1" x14ac:dyDescent="0.25">
      <c r="B34" s="17"/>
      <c r="C34" s="17"/>
      <c r="D34" s="17"/>
      <c r="E34" s="17"/>
      <c r="F34" s="17"/>
      <c r="G34" s="17"/>
      <c r="H34" s="17"/>
    </row>
    <row r="35" spans="1:23" s="4" customFormat="1" ht="14.25" hidden="1" customHeight="1" x14ac:dyDescent="0.25">
      <c r="B35" s="17"/>
      <c r="C35" s="17"/>
      <c r="D35" s="17"/>
      <c r="E35" s="17"/>
      <c r="F35" s="17"/>
      <c r="G35" s="17"/>
      <c r="H35" s="17"/>
    </row>
    <row r="36" spans="1:23" s="4" customFormat="1" ht="14.25" x14ac:dyDescent="0.2"/>
    <row r="37" spans="1:23" s="4" customFormat="1" x14ac:dyDescent="0.25">
      <c r="A37" s="4" t="s">
        <v>22</v>
      </c>
      <c r="B37" s="18" t="s">
        <v>23</v>
      </c>
      <c r="C37" s="12"/>
    </row>
    <row r="38" spans="1:23" s="4" customFormat="1" ht="15.75" thickBot="1" x14ac:dyDescent="0.3">
      <c r="B38" s="15" t="s">
        <v>2</v>
      </c>
      <c r="C38" s="19">
        <v>2018</v>
      </c>
      <c r="D38" s="1"/>
      <c r="E38" s="1"/>
      <c r="F38" s="20"/>
      <c r="G38" s="15"/>
      <c r="H38" s="15"/>
      <c r="I38" s="15"/>
      <c r="J38" s="15"/>
      <c r="K38" s="15"/>
      <c r="N38" s="16"/>
      <c r="O38" s="16"/>
      <c r="P38" s="16"/>
      <c r="Q38" s="16"/>
      <c r="R38" s="16"/>
      <c r="S38" s="16"/>
      <c r="T38" s="16"/>
      <c r="U38" s="16"/>
      <c r="V38" s="16"/>
      <c r="W38" s="16"/>
    </row>
    <row r="39" spans="1:23" s="17" customFormat="1" ht="80.25" customHeight="1" thickBot="1" x14ac:dyDescent="0.3">
      <c r="B39" s="21" t="s">
        <v>24</v>
      </c>
      <c r="C39" s="22" t="s">
        <v>25</v>
      </c>
      <c r="D39" s="23" t="s">
        <v>26</v>
      </c>
      <c r="E39" s="24" t="s">
        <v>27</v>
      </c>
      <c r="F39" s="25" t="s">
        <v>28</v>
      </c>
      <c r="G39" s="26" t="s">
        <v>29</v>
      </c>
      <c r="H39" s="26" t="s">
        <v>30</v>
      </c>
      <c r="I39" s="26" t="s">
        <v>31</v>
      </c>
      <c r="J39" s="26" t="s">
        <v>32</v>
      </c>
      <c r="K39" s="27" t="s">
        <v>33</v>
      </c>
      <c r="N39" s="16"/>
      <c r="O39" s="16"/>
      <c r="P39" s="16"/>
      <c r="Q39" s="16"/>
      <c r="R39" s="16"/>
      <c r="S39" s="16"/>
      <c r="T39" s="16"/>
      <c r="U39" s="16"/>
      <c r="V39" s="16"/>
      <c r="W39" s="16"/>
    </row>
    <row r="40" spans="1:23" s="17" customFormat="1" x14ac:dyDescent="0.25">
      <c r="B40" s="28"/>
      <c r="C40" s="29" t="s">
        <v>34</v>
      </c>
      <c r="D40" s="29" t="s">
        <v>35</v>
      </c>
      <c r="E40" s="30" t="s">
        <v>36</v>
      </c>
      <c r="F40" s="30" t="s">
        <v>37</v>
      </c>
      <c r="G40" s="30" t="s">
        <v>38</v>
      </c>
      <c r="H40" s="31" t="s">
        <v>39</v>
      </c>
      <c r="I40" s="30" t="s">
        <v>40</v>
      </c>
      <c r="J40" s="31" t="s">
        <v>41</v>
      </c>
      <c r="K40" s="32" t="s">
        <v>42</v>
      </c>
      <c r="N40" s="16"/>
      <c r="O40" s="16"/>
      <c r="P40" s="16"/>
      <c r="Q40" s="16"/>
      <c r="R40" s="16"/>
      <c r="S40" s="16"/>
      <c r="T40" s="16"/>
      <c r="U40" s="16"/>
      <c r="V40" s="16"/>
      <c r="W40" s="16"/>
    </row>
    <row r="41" spans="1:23" s="4" customFormat="1" x14ac:dyDescent="0.25">
      <c r="B41" s="33" t="s">
        <v>43</v>
      </c>
      <c r="C41" s="34">
        <v>6922195.7042371966</v>
      </c>
      <c r="D41" s="34"/>
      <c r="E41" s="35"/>
      <c r="F41" s="36">
        <f>C41-D41+E41</f>
        <v>6922195.7042371966</v>
      </c>
      <c r="G41" s="37">
        <f>IF($C$23="1st Estimate",'[3]GA Rates'!F4,IF($C$23="2nd Estimate",'[3]GA Rates'!G4,IF($C$23="Actual",'[3]GA Rates'!H4,0)))</f>
        <v>8.7770000000000001E-2</v>
      </c>
      <c r="H41" s="89">
        <f>F41*G41</f>
        <v>607561.11696089874</v>
      </c>
      <c r="I41" s="37">
        <f>'[3]GA Rates'!H4</f>
        <v>6.7360000000000003E-2</v>
      </c>
      <c r="J41" s="90">
        <f>F41*I41</f>
        <v>466279.10263741756</v>
      </c>
      <c r="K41" s="91">
        <f>J41-H41</f>
        <v>-141282.01432348118</v>
      </c>
      <c r="N41" s="16"/>
      <c r="O41" s="16"/>
      <c r="P41" s="16"/>
      <c r="Q41" s="16"/>
      <c r="R41" s="16"/>
      <c r="S41" s="16"/>
      <c r="T41" s="16"/>
      <c r="U41" s="16"/>
      <c r="V41" s="16"/>
      <c r="W41" s="16"/>
    </row>
    <row r="42" spans="1:23" s="4" customFormat="1" x14ac:dyDescent="0.25">
      <c r="B42" s="33" t="s">
        <v>44</v>
      </c>
      <c r="C42" s="34">
        <v>6165551.6374681853</v>
      </c>
      <c r="D42" s="34"/>
      <c r="E42" s="35"/>
      <c r="F42" s="36">
        <f t="shared" ref="F42:F52" si="0">C42-D42+E42</f>
        <v>6165551.6374681853</v>
      </c>
      <c r="G42" s="37">
        <f>IF($C$23="1st Estimate",'[3]GA Rates'!F5,IF($C$23="2nd Estimate",'[3]GA Rates'!G5,IF($C$23="Actual",'[3]GA Rates'!H5,0)))</f>
        <v>7.3329999999999992E-2</v>
      </c>
      <c r="H42" s="89">
        <f t="shared" ref="H42:H52" si="1">F42*G42</f>
        <v>452119.901575542</v>
      </c>
      <c r="I42" s="37">
        <f>'[3]GA Rates'!H5</f>
        <v>8.1670000000000006E-2</v>
      </c>
      <c r="J42" s="90">
        <f t="shared" ref="J42:J52" si="2">F42*I42</f>
        <v>503540.60223202675</v>
      </c>
      <c r="K42" s="91">
        <f t="shared" ref="K42:K52" si="3">J42-H42</f>
        <v>51420.700656484754</v>
      </c>
      <c r="N42" s="16"/>
      <c r="O42" s="16"/>
      <c r="P42" s="16"/>
      <c r="Q42" s="16"/>
      <c r="R42" s="16"/>
      <c r="S42" s="16"/>
      <c r="T42" s="16"/>
      <c r="U42" s="16"/>
      <c r="V42" s="16"/>
      <c r="W42" s="16"/>
    </row>
    <row r="43" spans="1:23" s="4" customFormat="1" x14ac:dyDescent="0.25">
      <c r="B43" s="33" t="s">
        <v>45</v>
      </c>
      <c r="C43" s="34">
        <v>6988580.7326468974</v>
      </c>
      <c r="D43" s="34"/>
      <c r="E43" s="35"/>
      <c r="F43" s="36">
        <f t="shared" si="0"/>
        <v>6988580.7326468974</v>
      </c>
      <c r="G43" s="37">
        <f>IF($C$23="1st Estimate",'[3]GA Rates'!F6,IF($C$23="2nd Estimate",'[3]GA Rates'!G6,IF($C$23="Actual",'[3]GA Rates'!H6,0)))</f>
        <v>7.8769999999999993E-2</v>
      </c>
      <c r="H43" s="89">
        <f t="shared" si="1"/>
        <v>550490.50431059604</v>
      </c>
      <c r="I43" s="37">
        <f>'[3]GA Rates'!H6</f>
        <v>9.4810000000000005E-2</v>
      </c>
      <c r="J43" s="90">
        <f t="shared" si="2"/>
        <v>662587.33926225244</v>
      </c>
      <c r="K43" s="91">
        <f t="shared" si="3"/>
        <v>112096.8349516564</v>
      </c>
      <c r="N43" s="16"/>
      <c r="O43" s="16"/>
      <c r="P43" s="16"/>
      <c r="Q43" s="16"/>
      <c r="R43" s="16"/>
      <c r="S43" s="16"/>
      <c r="T43" s="16"/>
      <c r="U43" s="16"/>
      <c r="V43" s="16"/>
      <c r="W43" s="16"/>
    </row>
    <row r="44" spans="1:23" s="4" customFormat="1" x14ac:dyDescent="0.25">
      <c r="B44" s="33" t="s">
        <v>46</v>
      </c>
      <c r="C44" s="34">
        <v>6507322.2179402765</v>
      </c>
      <c r="D44" s="34"/>
      <c r="E44" s="35"/>
      <c r="F44" s="36">
        <f t="shared" si="0"/>
        <v>6507322.2179402765</v>
      </c>
      <c r="G44" s="37">
        <f>IF($C$23="1st Estimate",'[3]GA Rates'!F7,IF($C$23="2nd Estimate",'[3]GA Rates'!G7,IF($C$23="Actual",'[3]GA Rates'!H7,0)))</f>
        <v>9.8099999999999993E-2</v>
      </c>
      <c r="H44" s="89">
        <f t="shared" si="1"/>
        <v>638368.30957994109</v>
      </c>
      <c r="I44" s="37">
        <f>'[3]GA Rates'!H7</f>
        <v>9.9589999999999998E-2</v>
      </c>
      <c r="J44" s="90">
        <f t="shared" si="2"/>
        <v>648064.21968467208</v>
      </c>
      <c r="K44" s="91">
        <f t="shared" si="3"/>
        <v>9695.9101047309814</v>
      </c>
      <c r="N44" s="16"/>
      <c r="O44" s="16"/>
      <c r="P44" s="16"/>
      <c r="Q44" s="16"/>
      <c r="R44" s="16"/>
      <c r="S44" s="16"/>
      <c r="T44" s="16"/>
      <c r="U44" s="16"/>
      <c r="V44" s="16"/>
      <c r="W44" s="16"/>
    </row>
    <row r="45" spans="1:23" s="4" customFormat="1" x14ac:dyDescent="0.25">
      <c r="B45" s="33" t="s">
        <v>47</v>
      </c>
      <c r="C45" s="34">
        <v>6824045.1074757054</v>
      </c>
      <c r="D45" s="34"/>
      <c r="E45" s="35"/>
      <c r="F45" s="36">
        <f t="shared" si="0"/>
        <v>6824045.1074757054</v>
      </c>
      <c r="G45" s="37">
        <f>IF($C$23="1st Estimate",'[3]GA Rates'!F8,IF($C$23="2nd Estimate",'[3]GA Rates'!G8,IF($C$23="Actual",'[3]GA Rates'!H8,0)))</f>
        <v>9.3920000000000003E-2</v>
      </c>
      <c r="H45" s="89">
        <f t="shared" si="1"/>
        <v>640914.31649411831</v>
      </c>
      <c r="I45" s="37">
        <f>'[3]GA Rates'!H8</f>
        <v>0.10793000000000001</v>
      </c>
      <c r="J45" s="90">
        <f t="shared" si="2"/>
        <v>736519.18844985298</v>
      </c>
      <c r="K45" s="91">
        <f t="shared" si="3"/>
        <v>95604.871955734678</v>
      </c>
      <c r="N45" s="16"/>
      <c r="O45" s="16"/>
      <c r="P45" s="16"/>
      <c r="Q45" s="16"/>
      <c r="R45" s="16"/>
      <c r="S45" s="16"/>
      <c r="T45" s="16"/>
      <c r="U45" s="16"/>
      <c r="V45" s="16"/>
      <c r="W45" s="16"/>
    </row>
    <row r="46" spans="1:23" s="4" customFormat="1" x14ac:dyDescent="0.25">
      <c r="B46" s="33" t="s">
        <v>48</v>
      </c>
      <c r="C46" s="34">
        <v>6444332.8113054968</v>
      </c>
      <c r="D46" s="34"/>
      <c r="E46" s="35"/>
      <c r="F46" s="36">
        <f t="shared" si="0"/>
        <v>6444332.8113054968</v>
      </c>
      <c r="G46" s="37">
        <f>IF($C$23="1st Estimate",'[3]GA Rates'!F9,IF($C$23="2nd Estimate",'[3]GA Rates'!G9,IF($C$23="Actual",'[3]GA Rates'!H9,0)))</f>
        <v>0.13336000000000001</v>
      </c>
      <c r="H46" s="89">
        <f t="shared" si="1"/>
        <v>859416.22371570114</v>
      </c>
      <c r="I46" s="37">
        <f>'[3]GA Rates'!H9</f>
        <v>0.11896</v>
      </c>
      <c r="J46" s="90">
        <f t="shared" si="2"/>
        <v>766617.8312329019</v>
      </c>
      <c r="K46" s="91">
        <f t="shared" si="3"/>
        <v>-92798.392482799245</v>
      </c>
      <c r="N46" s="16"/>
      <c r="O46" s="16"/>
      <c r="P46" s="16"/>
      <c r="Q46" s="16"/>
      <c r="R46" s="16"/>
      <c r="S46" s="16"/>
      <c r="T46" s="16"/>
      <c r="U46" s="16"/>
      <c r="V46" s="16"/>
      <c r="W46" s="16"/>
    </row>
    <row r="47" spans="1:23" s="4" customFormat="1" x14ac:dyDescent="0.25">
      <c r="B47" s="33" t="s">
        <v>49</v>
      </c>
      <c r="C47" s="35">
        <v>7185165.2813114114</v>
      </c>
      <c r="D47" s="34"/>
      <c r="E47" s="35"/>
      <c r="F47" s="36">
        <f t="shared" si="0"/>
        <v>7185165.2813114114</v>
      </c>
      <c r="G47" s="37">
        <f>IF($C$23="1st Estimate",'[3]GA Rates'!F10,IF($C$23="2nd Estimate",'[3]GA Rates'!G10,IF($C$23="Actual",'[3]GA Rates'!H10,0)))</f>
        <v>8.5019999999999998E-2</v>
      </c>
      <c r="H47" s="89">
        <f t="shared" si="1"/>
        <v>610882.75221709616</v>
      </c>
      <c r="I47" s="37">
        <f>'[3]GA Rates'!H10</f>
        <v>7.7370000000000008E-2</v>
      </c>
      <c r="J47" s="90">
        <f t="shared" si="2"/>
        <v>555916.23781506391</v>
      </c>
      <c r="K47" s="91">
        <f t="shared" si="3"/>
        <v>-54966.514402032248</v>
      </c>
      <c r="N47" s="16"/>
      <c r="O47" s="16"/>
      <c r="P47" s="16"/>
      <c r="Q47" s="16"/>
      <c r="R47" s="16"/>
      <c r="S47" s="16"/>
      <c r="T47" s="16"/>
      <c r="U47" s="16"/>
      <c r="V47" s="16"/>
      <c r="W47" s="16"/>
    </row>
    <row r="48" spans="1:23" s="4" customFormat="1" x14ac:dyDescent="0.25">
      <c r="B48" s="33" t="s">
        <v>50</v>
      </c>
      <c r="C48" s="35">
        <v>7057219.5117267407</v>
      </c>
      <c r="D48" s="34"/>
      <c r="E48" s="35"/>
      <c r="F48" s="36">
        <f t="shared" si="0"/>
        <v>7057219.5117267407</v>
      </c>
      <c r="G48" s="37">
        <f>IF($C$23="1st Estimate",'[3]GA Rates'!F11,IF($C$23="2nd Estimate",'[3]GA Rates'!G11,IF($C$23="Actual",'[3]GA Rates'!H11,0)))</f>
        <v>7.7900000000000011E-2</v>
      </c>
      <c r="H48" s="89">
        <f t="shared" si="1"/>
        <v>549757.39996351313</v>
      </c>
      <c r="I48" s="37">
        <f>'[3]GA Rates'!H11</f>
        <v>7.4900000000000008E-2</v>
      </c>
      <c r="J48" s="90">
        <f t="shared" si="2"/>
        <v>528585.74142833299</v>
      </c>
      <c r="K48" s="91">
        <f t="shared" si="3"/>
        <v>-21171.658535180148</v>
      </c>
      <c r="N48" s="16"/>
      <c r="O48" s="16"/>
      <c r="P48" s="16"/>
      <c r="Q48" s="16"/>
      <c r="R48" s="16"/>
      <c r="S48" s="16"/>
      <c r="T48" s="16"/>
      <c r="U48" s="16"/>
      <c r="V48" s="16"/>
      <c r="W48" s="16"/>
    </row>
    <row r="49" spans="2:23" s="4" customFormat="1" x14ac:dyDescent="0.25">
      <c r="B49" s="33" t="s">
        <v>51</v>
      </c>
      <c r="C49" s="35">
        <v>6690784.1849511005</v>
      </c>
      <c r="D49" s="34"/>
      <c r="E49" s="35"/>
      <c r="F49" s="36">
        <f t="shared" si="0"/>
        <v>6690784.1849511005</v>
      </c>
      <c r="G49" s="37">
        <f>IF($C$23="1st Estimate",'[3]GA Rates'!F12,IF($C$23="2nd Estimate",'[3]GA Rates'!G12,IF($C$23="Actual",'[3]GA Rates'!H12,0)))</f>
        <v>8.4239999999999995E-2</v>
      </c>
      <c r="H49" s="89">
        <f t="shared" si="1"/>
        <v>563631.65974028071</v>
      </c>
      <c r="I49" s="37">
        <f>'[3]GA Rates'!H12</f>
        <v>8.584E-2</v>
      </c>
      <c r="J49" s="90">
        <f t="shared" si="2"/>
        <v>574336.9144362025</v>
      </c>
      <c r="K49" s="91">
        <f t="shared" si="3"/>
        <v>10705.254695921787</v>
      </c>
      <c r="N49" s="16"/>
      <c r="O49" s="16"/>
      <c r="P49" s="16"/>
      <c r="Q49" s="16"/>
      <c r="R49" s="16"/>
      <c r="S49" s="16"/>
      <c r="T49" s="16"/>
      <c r="U49" s="16"/>
      <c r="V49" s="16"/>
      <c r="W49" s="16"/>
    </row>
    <row r="50" spans="2:23" s="4" customFormat="1" x14ac:dyDescent="0.25">
      <c r="B50" s="33" t="s">
        <v>52</v>
      </c>
      <c r="C50" s="35">
        <v>6562045.8331444245</v>
      </c>
      <c r="D50" s="34"/>
      <c r="E50" s="35"/>
      <c r="F50" s="36">
        <f t="shared" si="0"/>
        <v>6562045.8331444245</v>
      </c>
      <c r="G50" s="37">
        <f>IF($C$23="1st Estimate",'[3]GA Rates'!F13,IF($C$23="2nd Estimate",'[3]GA Rates'!G13,IF($C$23="Actual",'[3]GA Rates'!H13,0)))</f>
        <v>8.9209999999999998E-2</v>
      </c>
      <c r="H50" s="89">
        <f t="shared" si="1"/>
        <v>585400.10877481406</v>
      </c>
      <c r="I50" s="37">
        <f>'[3]GA Rates'!H13</f>
        <v>0.12059</v>
      </c>
      <c r="J50" s="90">
        <f t="shared" si="2"/>
        <v>791317.10701888613</v>
      </c>
      <c r="K50" s="91">
        <f t="shared" si="3"/>
        <v>205916.99824407208</v>
      </c>
      <c r="N50" s="16"/>
      <c r="O50" s="16"/>
      <c r="P50" s="16"/>
      <c r="Q50" s="16"/>
      <c r="R50" s="16"/>
      <c r="S50" s="16"/>
      <c r="T50" s="16"/>
      <c r="U50" s="16"/>
      <c r="V50" s="16"/>
      <c r="W50" s="16"/>
    </row>
    <row r="51" spans="2:23" s="4" customFormat="1" x14ac:dyDescent="0.25">
      <c r="B51" s="33" t="s">
        <v>53</v>
      </c>
      <c r="C51" s="35">
        <v>6465747.9300827384</v>
      </c>
      <c r="D51" s="34"/>
      <c r="E51" s="35"/>
      <c r="F51" s="36">
        <f t="shared" si="0"/>
        <v>6465747.9300827384</v>
      </c>
      <c r="G51" s="37">
        <f>IF($C$23="1st Estimate",'[3]GA Rates'!F14,IF($C$23="2nd Estimate",'[3]GA Rates'!G14,IF($C$23="Actual",'[3]GA Rates'!H14,0)))</f>
        <v>0.12235</v>
      </c>
      <c r="H51" s="89">
        <f t="shared" si="1"/>
        <v>791084.25924562302</v>
      </c>
      <c r="I51" s="37">
        <f>'[3]GA Rates'!H14</f>
        <v>9.8549999999999999E-2</v>
      </c>
      <c r="J51" s="90">
        <f t="shared" si="2"/>
        <v>637199.45850965381</v>
      </c>
      <c r="K51" s="91">
        <f t="shared" si="3"/>
        <v>-153884.80073596921</v>
      </c>
      <c r="N51" s="16"/>
      <c r="O51" s="16"/>
      <c r="P51" s="16"/>
      <c r="Q51" s="16"/>
      <c r="R51" s="16"/>
      <c r="S51" s="16"/>
      <c r="T51" s="16"/>
      <c r="U51" s="16"/>
      <c r="V51" s="16"/>
      <c r="W51" s="16"/>
    </row>
    <row r="52" spans="2:23" s="4" customFormat="1" x14ac:dyDescent="0.25">
      <c r="B52" s="33" t="s">
        <v>54</v>
      </c>
      <c r="C52" s="41">
        <v>6414246.3688119911</v>
      </c>
      <c r="D52" s="34"/>
      <c r="E52" s="35"/>
      <c r="F52" s="36">
        <f t="shared" si="0"/>
        <v>6414246.3688119911</v>
      </c>
      <c r="G52" s="37">
        <f>IF($C$23="1st Estimate",'[3]GA Rates'!F15,IF($C$23="2nd Estimate",'[3]GA Rates'!G15,IF($C$23="Actual",'[3]GA Rates'!H15,0)))</f>
        <v>9.1980000000000006E-2</v>
      </c>
      <c r="H52" s="89">
        <f t="shared" si="1"/>
        <v>589982.38100332697</v>
      </c>
      <c r="I52" s="37">
        <f>'[3]GA Rates'!H15</f>
        <v>7.4040000000000009E-2</v>
      </c>
      <c r="J52" s="90">
        <f t="shared" si="2"/>
        <v>474910.80114683986</v>
      </c>
      <c r="K52" s="91">
        <f t="shared" si="3"/>
        <v>-115071.57985648711</v>
      </c>
      <c r="N52" s="16"/>
      <c r="O52" s="16"/>
      <c r="P52" s="16"/>
      <c r="Q52" s="16"/>
      <c r="R52" s="16"/>
      <c r="S52" s="16"/>
      <c r="T52" s="16"/>
      <c r="U52" s="16"/>
      <c r="V52" s="16"/>
      <c r="W52" s="16"/>
    </row>
    <row r="53" spans="2:23" s="4" customFormat="1" ht="30.75" thickBot="1" x14ac:dyDescent="0.3">
      <c r="B53" s="42" t="s">
        <v>55</v>
      </c>
      <c r="C53" s="43">
        <f>SUM(C41:C52)</f>
        <v>80227237.321102157</v>
      </c>
      <c r="D53" s="43">
        <f>SUM(D41:D52)</f>
        <v>0</v>
      </c>
      <c r="E53" s="43">
        <f>SUM(E41:E52)</f>
        <v>0</v>
      </c>
      <c r="F53" s="43">
        <f>SUM(F41:F52)</f>
        <v>80227237.321102157</v>
      </c>
      <c r="G53" s="44"/>
      <c r="H53" s="92">
        <f>SUM(H41:H52)</f>
        <v>7439608.93358145</v>
      </c>
      <c r="I53" s="44"/>
      <c r="J53" s="92">
        <f>SUM(J41:J52)</f>
        <v>7345874.5438541025</v>
      </c>
      <c r="K53" s="93">
        <f>SUM(K41:K52)</f>
        <v>-93734.389727348462</v>
      </c>
      <c r="N53" s="16"/>
      <c r="O53" s="16"/>
      <c r="P53" s="16"/>
      <c r="Q53" s="16"/>
      <c r="R53" s="16"/>
      <c r="S53" s="16"/>
      <c r="T53" s="16"/>
      <c r="U53" s="16"/>
      <c r="V53" s="16"/>
      <c r="W53" s="16"/>
    </row>
    <row r="54" spans="2:23" s="4" customFormat="1" ht="14.25" x14ac:dyDescent="0.2">
      <c r="H54" s="1"/>
      <c r="I54" s="1"/>
      <c r="J54" s="47"/>
      <c r="K54" s="94"/>
      <c r="O54" s="49"/>
      <c r="P54" s="49"/>
      <c r="Q54" s="49"/>
      <c r="R54" s="49"/>
      <c r="S54" s="49"/>
      <c r="T54" s="49"/>
      <c r="U54" s="49"/>
      <c r="V54" s="49"/>
      <c r="W54" s="49"/>
    </row>
    <row r="55" spans="2:23" s="4" customFormat="1" hidden="1" x14ac:dyDescent="0.25">
      <c r="G55" s="1"/>
      <c r="H55" s="16"/>
      <c r="I55" s="16"/>
      <c r="J55" s="16"/>
      <c r="K55" s="16"/>
      <c r="O55" s="49"/>
      <c r="P55" s="49"/>
      <c r="Q55" s="49"/>
      <c r="R55" s="49"/>
      <c r="S55" s="49"/>
      <c r="T55" s="49"/>
      <c r="U55" s="49"/>
      <c r="V55" s="49"/>
      <c r="W55" s="49"/>
    </row>
    <row r="56" spans="2:23" s="4" customFormat="1" hidden="1" x14ac:dyDescent="0.25">
      <c r="G56" s="1"/>
      <c r="H56" s="16"/>
      <c r="I56" s="16"/>
      <c r="J56" s="16"/>
      <c r="K56" s="16"/>
      <c r="O56" s="49"/>
      <c r="P56" s="49"/>
      <c r="Q56" s="49"/>
      <c r="R56" s="49"/>
      <c r="S56" s="49"/>
      <c r="T56" s="49"/>
      <c r="U56" s="49"/>
      <c r="V56" s="49"/>
      <c r="W56" s="49"/>
    </row>
    <row r="57" spans="2:23" s="4" customFormat="1" hidden="1" x14ac:dyDescent="0.25">
      <c r="G57" s="1"/>
      <c r="H57" s="16"/>
      <c r="I57" s="16"/>
      <c r="J57" s="16"/>
      <c r="K57" s="16"/>
      <c r="O57" s="49"/>
      <c r="P57" s="49"/>
      <c r="Q57" s="49"/>
      <c r="R57" s="49"/>
      <c r="S57" s="49"/>
      <c r="T57" s="49"/>
      <c r="U57" s="49"/>
      <c r="V57" s="49"/>
      <c r="W57" s="49"/>
    </row>
    <row r="58" spans="2:23" s="4" customFormat="1" hidden="1" x14ac:dyDescent="0.25">
      <c r="G58" s="1"/>
      <c r="H58" s="132"/>
      <c r="I58" s="132"/>
      <c r="J58" s="132"/>
      <c r="K58" s="95"/>
      <c r="O58" s="49"/>
      <c r="P58" s="49"/>
      <c r="Q58" s="49"/>
      <c r="R58" s="49"/>
      <c r="S58" s="49"/>
      <c r="T58" s="49"/>
      <c r="U58" s="49"/>
      <c r="V58" s="49"/>
      <c r="W58" s="49"/>
    </row>
    <row r="59" spans="2:23" s="4" customFormat="1" x14ac:dyDescent="0.25">
      <c r="H59" s="143" t="s">
        <v>56</v>
      </c>
      <c r="I59" s="143"/>
      <c r="J59" s="143"/>
      <c r="K59" s="51">
        <f>IFERROR(F53/D18,0)</f>
        <v>1.0481657892016811</v>
      </c>
      <c r="O59" s="49"/>
      <c r="P59" s="49"/>
      <c r="Q59" s="49"/>
      <c r="R59" s="49"/>
      <c r="S59" s="49"/>
      <c r="T59" s="49"/>
      <c r="U59" s="49"/>
      <c r="V59" s="49"/>
      <c r="W59" s="49"/>
    </row>
    <row r="60" spans="2:23" s="4" customFormat="1" ht="34.5" customHeight="1" x14ac:dyDescent="0.25">
      <c r="H60" s="143" t="s">
        <v>57</v>
      </c>
      <c r="I60" s="143"/>
      <c r="J60" s="143"/>
      <c r="K60" s="52">
        <v>1.0481</v>
      </c>
      <c r="O60" s="49"/>
      <c r="P60" s="49"/>
      <c r="Q60" s="49"/>
      <c r="R60" s="49"/>
      <c r="S60" s="49"/>
      <c r="T60" s="49"/>
      <c r="U60" s="49"/>
      <c r="V60" s="49"/>
      <c r="W60" s="49"/>
    </row>
    <row r="61" spans="2:23" s="4" customFormat="1" x14ac:dyDescent="0.25">
      <c r="H61" s="143" t="s">
        <v>58</v>
      </c>
      <c r="I61" s="143"/>
      <c r="J61" s="143"/>
      <c r="K61" s="51">
        <f>K59-K60</f>
        <v>6.578920168109903E-5</v>
      </c>
      <c r="O61" s="49"/>
      <c r="P61" s="49"/>
      <c r="Q61" s="49"/>
      <c r="R61" s="49"/>
      <c r="S61" s="49"/>
      <c r="T61" s="49"/>
      <c r="U61" s="49"/>
      <c r="V61" s="49"/>
      <c r="W61" s="49"/>
    </row>
    <row r="62" spans="2:23" s="4" customFormat="1" ht="15.75" thickBot="1" x14ac:dyDescent="0.3">
      <c r="B62" s="15" t="s">
        <v>59</v>
      </c>
      <c r="G62" s="1" t="s">
        <v>93</v>
      </c>
      <c r="H62" s="53"/>
      <c r="I62" s="53"/>
      <c r="J62" s="53"/>
      <c r="K62" s="51"/>
      <c r="O62" s="49"/>
      <c r="P62" s="49"/>
      <c r="Q62" s="49"/>
      <c r="R62" s="49"/>
      <c r="S62" s="49"/>
      <c r="T62" s="49"/>
      <c r="U62" s="49"/>
      <c r="V62" s="49"/>
      <c r="W62" s="49"/>
    </row>
    <row r="63" spans="2:23" s="4" customFormat="1" ht="15.75" thickBot="1" x14ac:dyDescent="0.3">
      <c r="B63" s="144" t="s">
        <v>60</v>
      </c>
      <c r="C63" s="145"/>
      <c r="D63" s="146"/>
      <c r="F63" s="15" t="s">
        <v>61</v>
      </c>
      <c r="H63" s="53"/>
      <c r="I63" s="53"/>
      <c r="J63" s="53"/>
      <c r="K63" s="51"/>
      <c r="O63" s="49"/>
      <c r="P63" s="49"/>
      <c r="Q63" s="49"/>
      <c r="R63" s="49"/>
      <c r="S63" s="49"/>
      <c r="T63" s="49"/>
      <c r="U63" s="49"/>
      <c r="V63" s="49"/>
      <c r="W63" s="49"/>
    </row>
    <row r="64" spans="2:23" s="4" customFormat="1" ht="15" customHeight="1" x14ac:dyDescent="0.2">
      <c r="B64" s="147"/>
      <c r="C64" s="148"/>
      <c r="D64" s="149"/>
      <c r="F64" s="144" t="s">
        <v>123</v>
      </c>
      <c r="G64" s="145"/>
      <c r="H64" s="145"/>
      <c r="I64" s="145"/>
      <c r="J64" s="145"/>
      <c r="K64" s="146"/>
      <c r="O64" s="49"/>
      <c r="P64" s="49"/>
      <c r="Q64" s="49"/>
      <c r="R64" s="49"/>
      <c r="S64" s="49"/>
      <c r="T64" s="49"/>
      <c r="U64" s="49"/>
      <c r="V64" s="49"/>
      <c r="W64" s="49"/>
    </row>
    <row r="65" spans="1:23" s="4" customFormat="1" ht="15" customHeight="1" x14ac:dyDescent="0.2">
      <c r="B65" s="147"/>
      <c r="C65" s="148"/>
      <c r="D65" s="149"/>
      <c r="F65" s="147"/>
      <c r="G65" s="148"/>
      <c r="H65" s="148"/>
      <c r="I65" s="148"/>
      <c r="J65" s="148"/>
      <c r="K65" s="149"/>
      <c r="O65" s="49"/>
      <c r="P65" s="49"/>
      <c r="Q65" s="49"/>
      <c r="R65" s="49"/>
      <c r="S65" s="49"/>
      <c r="T65" s="49"/>
      <c r="U65" s="49"/>
      <c r="V65" s="49"/>
      <c r="W65" s="49"/>
    </row>
    <row r="66" spans="1:23" s="4" customFormat="1" ht="15" customHeight="1" x14ac:dyDescent="0.2">
      <c r="B66" s="147"/>
      <c r="C66" s="148"/>
      <c r="D66" s="149"/>
      <c r="F66" s="147"/>
      <c r="G66" s="148"/>
      <c r="H66" s="148"/>
      <c r="I66" s="148"/>
      <c r="J66" s="148"/>
      <c r="K66" s="149"/>
      <c r="O66" s="49"/>
      <c r="P66" s="49"/>
      <c r="Q66" s="49"/>
      <c r="R66" s="49"/>
      <c r="S66" s="49"/>
      <c r="T66" s="49"/>
      <c r="U66" s="49"/>
      <c r="V66" s="49"/>
      <c r="W66" s="49"/>
    </row>
    <row r="67" spans="1:23" s="4" customFormat="1" ht="15" customHeight="1" x14ac:dyDescent="0.2">
      <c r="B67" s="147"/>
      <c r="C67" s="148"/>
      <c r="D67" s="149"/>
      <c r="F67" s="147"/>
      <c r="G67" s="148"/>
      <c r="H67" s="148"/>
      <c r="I67" s="148"/>
      <c r="J67" s="148"/>
      <c r="K67" s="149"/>
      <c r="O67" s="49"/>
      <c r="P67" s="49"/>
      <c r="Q67" s="49"/>
      <c r="R67" s="49"/>
      <c r="S67" s="49"/>
      <c r="T67" s="49"/>
      <c r="U67" s="49"/>
      <c r="V67" s="49"/>
      <c r="W67" s="49"/>
    </row>
    <row r="68" spans="1:23" s="4" customFormat="1" ht="15" customHeight="1" x14ac:dyDescent="0.2">
      <c r="B68" s="147"/>
      <c r="C68" s="148"/>
      <c r="D68" s="149"/>
      <c r="F68" s="147"/>
      <c r="G68" s="148"/>
      <c r="H68" s="148"/>
      <c r="I68" s="148"/>
      <c r="J68" s="148"/>
      <c r="K68" s="149"/>
      <c r="O68" s="49"/>
      <c r="P68" s="49"/>
      <c r="Q68" s="49"/>
      <c r="R68" s="49"/>
      <c r="S68" s="49"/>
      <c r="T68" s="49"/>
      <c r="U68" s="49"/>
      <c r="V68" s="49"/>
      <c r="W68" s="49"/>
    </row>
    <row r="69" spans="1:23" s="4" customFormat="1" ht="15" customHeight="1" thickBot="1" x14ac:dyDescent="0.25">
      <c r="B69" s="150"/>
      <c r="C69" s="151"/>
      <c r="D69" s="152"/>
      <c r="F69" s="150"/>
      <c r="G69" s="151"/>
      <c r="H69" s="151"/>
      <c r="I69" s="151"/>
      <c r="J69" s="151"/>
      <c r="K69" s="152"/>
      <c r="O69" s="49"/>
      <c r="P69" s="49"/>
      <c r="Q69" s="49"/>
      <c r="R69" s="49"/>
      <c r="S69" s="49"/>
      <c r="T69" s="49"/>
      <c r="U69" s="49"/>
      <c r="V69" s="49"/>
      <c r="W69" s="49"/>
    </row>
    <row r="70" spans="1:23" s="4" customFormat="1" ht="28.9" customHeight="1" x14ac:dyDescent="0.25">
      <c r="A70" s="4" t="s">
        <v>62</v>
      </c>
      <c r="B70" s="18" t="s">
        <v>63</v>
      </c>
      <c r="C70" s="15"/>
      <c r="K70" s="54"/>
      <c r="O70" s="49"/>
      <c r="P70" s="49"/>
      <c r="Q70" s="49"/>
      <c r="R70" s="49"/>
      <c r="S70" s="49"/>
      <c r="T70" s="49"/>
      <c r="U70" s="49"/>
      <c r="V70" s="49"/>
      <c r="W70" s="49"/>
    </row>
    <row r="71" spans="1:23" s="4" customFormat="1" x14ac:dyDescent="0.25">
      <c r="B71" s="12"/>
      <c r="C71" s="15"/>
      <c r="K71" s="55"/>
    </row>
    <row r="72" spans="1:23" s="4" customFormat="1" ht="15" customHeight="1" x14ac:dyDescent="0.25">
      <c r="A72" s="56"/>
      <c r="B72" s="57" t="s">
        <v>64</v>
      </c>
      <c r="C72" s="58" t="s">
        <v>65</v>
      </c>
      <c r="D72" s="153" t="s">
        <v>66</v>
      </c>
      <c r="E72" s="153"/>
      <c r="F72" s="153"/>
      <c r="G72" s="153"/>
      <c r="H72" s="153"/>
      <c r="I72" s="154" t="s">
        <v>67</v>
      </c>
      <c r="J72" s="154"/>
      <c r="K72" s="154"/>
    </row>
    <row r="73" spans="1:23" s="4" customFormat="1" ht="42" customHeight="1" x14ac:dyDescent="0.25">
      <c r="A73" s="155" t="s">
        <v>68</v>
      </c>
      <c r="B73" s="156"/>
      <c r="C73" s="59">
        <f>-351687.03-242509.49</f>
        <v>-594196.52</v>
      </c>
      <c r="D73" s="157"/>
      <c r="E73" s="158"/>
      <c r="F73" s="158"/>
      <c r="G73" s="158"/>
      <c r="H73" s="159"/>
      <c r="I73" s="61" t="s">
        <v>69</v>
      </c>
      <c r="J73" s="160" t="s">
        <v>70</v>
      </c>
      <c r="K73" s="160"/>
    </row>
    <row r="74" spans="1:23" s="4" customFormat="1" ht="27.95" customHeight="1" x14ac:dyDescent="0.2">
      <c r="A74" s="62" t="s">
        <v>71</v>
      </c>
      <c r="B74" s="63" t="s">
        <v>72</v>
      </c>
      <c r="C74" s="59">
        <f>784240.46+21304.38</f>
        <v>805544.84</v>
      </c>
      <c r="D74" s="161" t="s">
        <v>110</v>
      </c>
      <c r="E74" s="161"/>
      <c r="F74" s="161"/>
      <c r="G74" s="161"/>
      <c r="H74" s="161"/>
      <c r="I74" s="14" t="s">
        <v>20</v>
      </c>
      <c r="J74" s="164"/>
      <c r="K74" s="164"/>
    </row>
    <row r="75" spans="1:23" s="4" customFormat="1" ht="27.95" customHeight="1" x14ac:dyDescent="0.2">
      <c r="A75" s="62" t="s">
        <v>73</v>
      </c>
      <c r="B75" s="63" t="s">
        <v>74</v>
      </c>
      <c r="C75" s="59">
        <f>-849609+827750</f>
        <v>-21859</v>
      </c>
      <c r="D75" s="139" t="s">
        <v>111</v>
      </c>
      <c r="E75" s="140"/>
      <c r="F75" s="140"/>
      <c r="G75" s="140"/>
      <c r="H75" s="141"/>
      <c r="I75" s="14" t="s">
        <v>20</v>
      </c>
      <c r="J75" s="164"/>
      <c r="K75" s="164"/>
      <c r="L75" s="1"/>
      <c r="M75" s="1"/>
      <c r="N75" s="1"/>
      <c r="O75" s="1"/>
    </row>
    <row r="76" spans="1:23" s="4" customFormat="1" ht="28.5" x14ac:dyDescent="0.2">
      <c r="A76" s="62" t="s">
        <v>75</v>
      </c>
      <c r="B76" s="63" t="s">
        <v>76</v>
      </c>
      <c r="C76" s="59"/>
      <c r="D76" s="161"/>
      <c r="E76" s="161"/>
      <c r="F76" s="161"/>
      <c r="G76" s="161"/>
      <c r="H76" s="161"/>
      <c r="I76" s="14"/>
      <c r="J76" s="164"/>
      <c r="K76" s="164"/>
      <c r="L76" s="1"/>
      <c r="M76" s="1"/>
      <c r="N76" s="1"/>
      <c r="O76" s="1"/>
    </row>
    <row r="77" spans="1:23" s="4" customFormat="1" ht="28.5" x14ac:dyDescent="0.2">
      <c r="A77" s="62" t="s">
        <v>77</v>
      </c>
      <c r="B77" s="63" t="s">
        <v>78</v>
      </c>
      <c r="C77" s="59"/>
      <c r="D77" s="161"/>
      <c r="E77" s="161"/>
      <c r="F77" s="161"/>
      <c r="G77" s="161"/>
      <c r="H77" s="161"/>
      <c r="I77" s="14"/>
      <c r="J77" s="164"/>
      <c r="K77" s="164"/>
      <c r="L77" s="1"/>
      <c r="M77" s="1"/>
      <c r="N77" s="1"/>
      <c r="O77" s="1"/>
    </row>
    <row r="78" spans="1:23" s="4" customFormat="1" ht="28.5" x14ac:dyDescent="0.2">
      <c r="A78" s="62" t="s">
        <v>79</v>
      </c>
      <c r="B78" s="63" t="s">
        <v>80</v>
      </c>
      <c r="C78" s="59"/>
      <c r="D78" s="161"/>
      <c r="E78" s="161"/>
      <c r="F78" s="161"/>
      <c r="G78" s="161"/>
      <c r="H78" s="161"/>
      <c r="I78" s="14"/>
      <c r="J78" s="164"/>
      <c r="K78" s="164"/>
      <c r="L78" s="1"/>
      <c r="M78" s="1"/>
      <c r="N78" s="1"/>
      <c r="O78" s="1"/>
    </row>
    <row r="79" spans="1:23" s="4" customFormat="1" ht="28.5" x14ac:dyDescent="0.2">
      <c r="A79" s="62" t="s">
        <v>81</v>
      </c>
      <c r="B79" s="63" t="s">
        <v>82</v>
      </c>
      <c r="C79" s="59"/>
      <c r="D79" s="161"/>
      <c r="E79" s="161"/>
      <c r="F79" s="161"/>
      <c r="G79" s="161"/>
      <c r="H79" s="161"/>
      <c r="I79" s="14"/>
      <c r="J79" s="164"/>
      <c r="K79" s="164"/>
      <c r="L79" s="1"/>
      <c r="M79" s="1"/>
      <c r="N79" s="1"/>
      <c r="O79" s="1"/>
    </row>
    <row r="80" spans="1:23" s="4" customFormat="1" ht="33.75" customHeight="1" x14ac:dyDescent="0.2">
      <c r="A80" s="62">
        <v>4</v>
      </c>
      <c r="B80" s="63" t="s">
        <v>83</v>
      </c>
      <c r="C80" s="59"/>
      <c r="D80" s="161"/>
      <c r="E80" s="161"/>
      <c r="F80" s="161"/>
      <c r="G80" s="161"/>
      <c r="H80" s="161"/>
      <c r="I80" s="14"/>
      <c r="J80" s="164"/>
      <c r="K80" s="164"/>
      <c r="L80" s="1"/>
      <c r="M80" s="1"/>
      <c r="N80" s="1"/>
      <c r="O80" s="1"/>
    </row>
    <row r="81" spans="1:15" s="4" customFormat="1" ht="28.5" x14ac:dyDescent="0.2">
      <c r="A81" s="62">
        <v>5</v>
      </c>
      <c r="B81" s="63" t="s">
        <v>84</v>
      </c>
      <c r="C81" s="59"/>
      <c r="D81" s="139"/>
      <c r="E81" s="140"/>
      <c r="F81" s="140"/>
      <c r="G81" s="140"/>
      <c r="H81" s="141"/>
      <c r="I81" s="14"/>
      <c r="J81" s="164"/>
      <c r="K81" s="164"/>
      <c r="L81" s="1"/>
      <c r="M81" s="1"/>
      <c r="N81" s="1"/>
      <c r="O81" s="1"/>
    </row>
    <row r="82" spans="1:15" s="4" customFormat="1" ht="28.5" x14ac:dyDescent="0.2">
      <c r="A82" s="64">
        <v>6</v>
      </c>
      <c r="B82" s="65" t="s">
        <v>85</v>
      </c>
      <c r="C82" s="59"/>
      <c r="D82" s="139"/>
      <c r="E82" s="140"/>
      <c r="F82" s="140"/>
      <c r="G82" s="140"/>
      <c r="H82" s="141"/>
      <c r="I82" s="14"/>
      <c r="J82" s="164"/>
      <c r="K82" s="164"/>
    </row>
    <row r="83" spans="1:15" s="4" customFormat="1" ht="14.25" x14ac:dyDescent="0.2">
      <c r="A83" s="64">
        <v>7</v>
      </c>
      <c r="B83" s="66" t="s">
        <v>86</v>
      </c>
      <c r="C83" s="59"/>
      <c r="D83" s="161"/>
      <c r="E83" s="161"/>
      <c r="F83" s="161"/>
      <c r="G83" s="161"/>
      <c r="H83" s="161"/>
      <c r="I83" s="14"/>
      <c r="J83" s="164"/>
      <c r="K83" s="164"/>
    </row>
    <row r="84" spans="1:15" s="4" customFormat="1" ht="14.25" x14ac:dyDescent="0.2">
      <c r="A84" s="64">
        <v>8</v>
      </c>
      <c r="B84" s="66" t="s">
        <v>87</v>
      </c>
      <c r="C84" s="59"/>
      <c r="D84" s="161"/>
      <c r="E84" s="161"/>
      <c r="F84" s="161"/>
      <c r="G84" s="161"/>
      <c r="H84" s="161"/>
      <c r="I84" s="14"/>
      <c r="J84" s="164"/>
      <c r="K84" s="164"/>
    </row>
    <row r="85" spans="1:15" s="4" customFormat="1" ht="14.1" customHeight="1" x14ac:dyDescent="0.2">
      <c r="A85" s="64">
        <v>9</v>
      </c>
      <c r="B85" s="67" t="s">
        <v>112</v>
      </c>
      <c r="C85" s="59">
        <v>-251646</v>
      </c>
      <c r="D85" s="139" t="s">
        <v>113</v>
      </c>
      <c r="E85" s="140"/>
      <c r="F85" s="140"/>
      <c r="G85" s="140"/>
      <c r="H85" s="141"/>
      <c r="I85" s="14" t="s">
        <v>20</v>
      </c>
      <c r="J85" s="164" t="s">
        <v>117</v>
      </c>
      <c r="K85" s="164"/>
    </row>
    <row r="86" spans="1:15" s="4" customFormat="1" ht="14.25" x14ac:dyDescent="0.2">
      <c r="A86" s="64">
        <v>10</v>
      </c>
      <c r="B86" s="67"/>
      <c r="C86" s="59"/>
      <c r="D86" s="161"/>
      <c r="E86" s="161"/>
      <c r="F86" s="161"/>
      <c r="G86" s="161"/>
      <c r="H86" s="161"/>
      <c r="I86" s="14"/>
      <c r="J86" s="164"/>
      <c r="K86" s="164"/>
    </row>
    <row r="87" spans="1:15" s="4" customFormat="1" x14ac:dyDescent="0.2">
      <c r="A87" s="68"/>
      <c r="B87" s="68"/>
      <c r="C87" s="68"/>
      <c r="D87" s="68"/>
      <c r="E87" s="68"/>
      <c r="F87" s="68"/>
      <c r="G87" s="68"/>
      <c r="H87" s="162"/>
      <c r="I87" s="163"/>
      <c r="J87" s="163"/>
      <c r="K87" s="96"/>
    </row>
    <row r="88" spans="1:15" s="4" customFormat="1" ht="30" x14ac:dyDescent="0.25">
      <c r="A88" s="4" t="s">
        <v>88</v>
      </c>
      <c r="B88" s="17" t="s">
        <v>89</v>
      </c>
      <c r="C88" s="97">
        <f>SUM(C73:C86)</f>
        <v>-62156.680000000051</v>
      </c>
      <c r="D88" s="98"/>
      <c r="E88" s="98"/>
      <c r="F88" s="98"/>
      <c r="G88" s="98"/>
    </row>
    <row r="89" spans="1:15" s="4" customFormat="1" ht="30" x14ac:dyDescent="0.25">
      <c r="B89" s="72" t="s">
        <v>90</v>
      </c>
      <c r="C89" s="99">
        <f>K53</f>
        <v>-93734.389727348462</v>
      </c>
      <c r="D89" s="98"/>
      <c r="E89" s="98"/>
      <c r="F89" s="98"/>
      <c r="G89" s="98"/>
    </row>
    <row r="90" spans="1:15" s="4" customFormat="1" x14ac:dyDescent="0.25">
      <c r="B90" s="72" t="s">
        <v>91</v>
      </c>
      <c r="C90" s="96">
        <f>C88-C89</f>
        <v>31577.709727348411</v>
      </c>
    </row>
    <row r="91" spans="1:15" s="4" customFormat="1" ht="30.75" thickBot="1" x14ac:dyDescent="0.3">
      <c r="B91" s="72" t="s">
        <v>92</v>
      </c>
      <c r="C91" s="74">
        <f>IF(ISERROR(C90/J53),0,C90/J53)</f>
        <v>4.2986998401392217E-3</v>
      </c>
      <c r="D91" s="75" t="str">
        <f>IF(AND(C91&lt;0.01,C91&gt;-0.01),"","Unresolved differences of greater than + or - 1% should be explained")</f>
        <v/>
      </c>
      <c r="F91" s="1"/>
    </row>
    <row r="92" spans="1:15" s="4" customFormat="1" ht="15.75" thickTop="1" x14ac:dyDescent="0.25">
      <c r="B92" s="15"/>
      <c r="C92" s="100"/>
      <c r="D92" s="77"/>
      <c r="G92" s="1"/>
    </row>
    <row r="93" spans="1:15" s="4" customFormat="1" x14ac:dyDescent="0.25">
      <c r="B93" s="15"/>
      <c r="C93" s="100"/>
      <c r="D93" s="78"/>
    </row>
    <row r="94" spans="1:15" s="4" customFormat="1" ht="14.25" x14ac:dyDescent="0.2"/>
    <row r="95" spans="1:15" s="4" customFormat="1" ht="14.25" x14ac:dyDescent="0.2">
      <c r="C95" s="105"/>
    </row>
    <row r="96" spans="1:15" x14ac:dyDescent="0.25">
      <c r="B96" s="4"/>
      <c r="C96" s="104"/>
    </row>
  </sheetData>
  <mergeCells count="43">
    <mergeCell ref="D85:H85"/>
    <mergeCell ref="J85:K85"/>
    <mergeCell ref="D86:H86"/>
    <mergeCell ref="J86:K86"/>
    <mergeCell ref="H87:J87"/>
    <mergeCell ref="D82:H82"/>
    <mergeCell ref="J82:K82"/>
    <mergeCell ref="D83:H83"/>
    <mergeCell ref="J83:K83"/>
    <mergeCell ref="D84:H84"/>
    <mergeCell ref="J84:K84"/>
    <mergeCell ref="D79:H79"/>
    <mergeCell ref="J79:K79"/>
    <mergeCell ref="D80:H80"/>
    <mergeCell ref="J80:K80"/>
    <mergeCell ref="D81:H81"/>
    <mergeCell ref="J81:K81"/>
    <mergeCell ref="D76:H76"/>
    <mergeCell ref="J76:K76"/>
    <mergeCell ref="D77:H77"/>
    <mergeCell ref="J77:K77"/>
    <mergeCell ref="D78:H78"/>
    <mergeCell ref="J78:K78"/>
    <mergeCell ref="D75:H75"/>
    <mergeCell ref="J75:K75"/>
    <mergeCell ref="H59:J59"/>
    <mergeCell ref="H60:J60"/>
    <mergeCell ref="H61:J61"/>
    <mergeCell ref="B63:D69"/>
    <mergeCell ref="F64:K69"/>
    <mergeCell ref="D72:H72"/>
    <mergeCell ref="I72:K72"/>
    <mergeCell ref="A73:B73"/>
    <mergeCell ref="D73:H73"/>
    <mergeCell ref="J73:K73"/>
    <mergeCell ref="D74:H74"/>
    <mergeCell ref="J74:K74"/>
    <mergeCell ref="H58:J58"/>
    <mergeCell ref="B13:C13"/>
    <mergeCell ref="E13:F13"/>
    <mergeCell ref="B19:H19"/>
    <mergeCell ref="B25:F25"/>
    <mergeCell ref="B27:F27"/>
  </mergeCells>
  <dataValidations count="2">
    <dataValidation type="list" sqref="C23" xr:uid="{07EB2795-3724-483B-9D3B-60F8F45AB551}">
      <formula1>"1st Estimate, 2nd Estimate, Actual"</formula1>
    </dataValidation>
    <dataValidation type="list" allowBlank="1" showInputMessage="1" showErrorMessage="1" sqref="G27 G25 I74:I86" xr:uid="{4F2778D2-4051-4764-BBDB-59579831153C}">
      <formula1>"Yes,No"</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CB69A-BD10-4BFB-86B9-2B4F85FB257B}">
  <dimension ref="A12:W97"/>
  <sheetViews>
    <sheetView topLeftCell="A10" zoomScale="60" zoomScaleNormal="60" workbookViewId="0">
      <selection activeCell="F64" sqref="F64:K69"/>
    </sheetView>
  </sheetViews>
  <sheetFormatPr defaultColWidth="9" defaultRowHeight="15" x14ac:dyDescent="0.25"/>
  <cols>
    <col min="1" max="1" width="10.42578125" style="80" customWidth="1"/>
    <col min="2" max="2" width="53.85546875" style="80" customWidth="1"/>
    <col min="3" max="3" width="28" style="80" customWidth="1"/>
    <col min="4" max="4" width="23" style="80" customWidth="1"/>
    <col min="5" max="5" width="19" style="80" customWidth="1"/>
    <col min="6" max="6" width="24.42578125" style="80" customWidth="1"/>
    <col min="7" max="7" width="15.85546875" style="80" customWidth="1"/>
    <col min="8" max="8" width="18" style="80" customWidth="1"/>
    <col min="9" max="11" width="20.5703125" style="80" customWidth="1"/>
    <col min="12" max="12" width="10.5703125" style="80" customWidth="1"/>
    <col min="13" max="13" width="10.42578125" style="80" customWidth="1"/>
    <col min="14" max="14" width="11.85546875" style="80" customWidth="1"/>
    <col min="15" max="15" width="10.5703125" style="80" customWidth="1"/>
    <col min="16" max="16" width="10.42578125" style="80" customWidth="1"/>
    <col min="17" max="18" width="10.5703125" style="80" customWidth="1"/>
    <col min="19" max="19" width="11" style="80" customWidth="1"/>
    <col min="20" max="20" width="13" style="80" customWidth="1"/>
    <col min="21" max="21" width="10.85546875" style="80" customWidth="1"/>
    <col min="22" max="22" width="11.42578125" style="80" customWidth="1"/>
    <col min="23" max="16384" width="9" style="80"/>
  </cols>
  <sheetData>
    <row r="12" spans="1:19" s="4" customFormat="1" x14ac:dyDescent="0.2">
      <c r="A12" s="1" t="s">
        <v>0</v>
      </c>
      <c r="B12" s="2" t="s">
        <v>1</v>
      </c>
      <c r="C12" s="3"/>
      <c r="D12" s="3"/>
      <c r="E12" s="3"/>
      <c r="F12" s="3"/>
      <c r="I12" s="1"/>
      <c r="J12" s="1"/>
      <c r="K12" s="1"/>
      <c r="L12" s="1"/>
      <c r="M12" s="1"/>
      <c r="N12" s="1"/>
      <c r="O12" s="1"/>
      <c r="P12" s="1"/>
      <c r="Q12" s="1"/>
      <c r="R12" s="1"/>
      <c r="S12" s="1"/>
    </row>
    <row r="13" spans="1:19" s="4" customFormat="1" x14ac:dyDescent="0.2">
      <c r="A13" s="1"/>
      <c r="B13" s="129" t="s">
        <v>2</v>
      </c>
      <c r="C13" s="129"/>
      <c r="D13" s="5">
        <v>2019</v>
      </c>
      <c r="E13" s="133"/>
      <c r="F13" s="134"/>
      <c r="G13" s="1"/>
      <c r="H13" s="1"/>
      <c r="I13" s="1"/>
      <c r="J13" s="1"/>
      <c r="K13" s="1"/>
      <c r="L13" s="1"/>
      <c r="M13" s="1"/>
      <c r="N13" s="1"/>
      <c r="O13" s="1"/>
      <c r="P13" s="1"/>
      <c r="Q13" s="1"/>
    </row>
    <row r="14" spans="1:19" s="4" customFormat="1" thickBot="1" x14ac:dyDescent="0.25">
      <c r="A14" s="1"/>
      <c r="B14" s="6" t="s">
        <v>3</v>
      </c>
      <c r="C14" s="6" t="s">
        <v>4</v>
      </c>
      <c r="D14" s="7">
        <f>+'Consumption 2017-2019'!D36</f>
        <v>249848695</v>
      </c>
      <c r="E14" s="8" t="s">
        <v>5</v>
      </c>
      <c r="F14" s="9">
        <v>1</v>
      </c>
      <c r="G14" s="1"/>
      <c r="H14" s="1"/>
      <c r="I14" s="1"/>
      <c r="J14" s="1"/>
      <c r="K14" s="1"/>
      <c r="L14" s="1"/>
      <c r="M14" s="1"/>
      <c r="N14" s="1"/>
      <c r="O14" s="1"/>
      <c r="P14" s="1"/>
      <c r="Q14" s="1"/>
    </row>
    <row r="15" spans="1:19" s="4" customFormat="1" thickBot="1" x14ac:dyDescent="0.25">
      <c r="B15" s="6" t="s">
        <v>6</v>
      </c>
      <c r="C15" s="6" t="s">
        <v>7</v>
      </c>
      <c r="D15" s="7">
        <f>+'Consumption 2017-2019'!D37</f>
        <v>125166736</v>
      </c>
      <c r="E15" s="8" t="s">
        <v>5</v>
      </c>
      <c r="F15" s="10">
        <f>IFERROR(D15/$D$14,0)</f>
        <v>0.5009701411488261</v>
      </c>
    </row>
    <row r="16" spans="1:19" s="4" customFormat="1" thickBot="1" x14ac:dyDescent="0.25">
      <c r="B16" s="6" t="s">
        <v>8</v>
      </c>
      <c r="C16" s="6" t="s">
        <v>9</v>
      </c>
      <c r="D16" s="7">
        <f>+'Consumption 2017-2019'!D38</f>
        <v>124681959</v>
      </c>
      <c r="E16" s="8" t="s">
        <v>5</v>
      </c>
      <c r="F16" s="10">
        <f>IFERROR(D16/$D$14,0)</f>
        <v>0.4990298588511739</v>
      </c>
    </row>
    <row r="17" spans="1:8" s="4" customFormat="1" thickBot="1" x14ac:dyDescent="0.25">
      <c r="B17" s="6" t="s">
        <v>10</v>
      </c>
      <c r="C17" s="6" t="s">
        <v>11</v>
      </c>
      <c r="D17" s="7">
        <f>+'Consumption 2017-2019'!D39</f>
        <v>54676133.899437077</v>
      </c>
      <c r="E17" s="8" t="s">
        <v>5</v>
      </c>
      <c r="F17" s="10">
        <f>IFERROR(D17/$D$14,0)</f>
        <v>0.21883698011485342</v>
      </c>
    </row>
    <row r="18" spans="1:8" s="4" customFormat="1" thickBot="1" x14ac:dyDescent="0.25">
      <c r="B18" s="6" t="s">
        <v>12</v>
      </c>
      <c r="C18" s="6" t="s">
        <v>13</v>
      </c>
      <c r="D18" s="7">
        <f>+'Consumption 2017-2019'!D40</f>
        <v>70005825.10056293</v>
      </c>
      <c r="E18" s="8" t="s">
        <v>5</v>
      </c>
      <c r="F18" s="10">
        <f>IFERROR(D18/$D$14,0)</f>
        <v>0.28019287873632054</v>
      </c>
    </row>
    <row r="19" spans="1:8" s="4" customFormat="1" ht="34.5" customHeight="1" x14ac:dyDescent="0.2">
      <c r="B19" s="135" t="s">
        <v>14</v>
      </c>
      <c r="C19" s="135"/>
      <c r="D19" s="135"/>
      <c r="E19" s="135"/>
      <c r="F19" s="135"/>
      <c r="G19" s="136"/>
      <c r="H19" s="136"/>
    </row>
    <row r="20" spans="1:8" s="4" customFormat="1" ht="14.25" x14ac:dyDescent="0.2">
      <c r="D20" s="11"/>
    </row>
    <row r="21" spans="1:8" s="4" customFormat="1" x14ac:dyDescent="0.25">
      <c r="A21" s="4" t="s">
        <v>15</v>
      </c>
      <c r="B21" s="12" t="s">
        <v>16</v>
      </c>
    </row>
    <row r="22" spans="1:8" s="4" customFormat="1" x14ac:dyDescent="0.25">
      <c r="B22" s="12"/>
    </row>
    <row r="23" spans="1:8" s="4" customFormat="1" x14ac:dyDescent="0.25">
      <c r="B23" s="79" t="s">
        <v>17</v>
      </c>
      <c r="C23" s="14" t="s">
        <v>18</v>
      </c>
      <c r="E23" s="1"/>
    </row>
    <row r="24" spans="1:8" s="4" customFormat="1" ht="14.25" x14ac:dyDescent="0.2">
      <c r="E24" s="1"/>
    </row>
    <row r="25" spans="1:8" s="4" customFormat="1" x14ac:dyDescent="0.25">
      <c r="B25" s="137" t="s">
        <v>19</v>
      </c>
      <c r="C25" s="138"/>
      <c r="D25" s="138"/>
      <c r="E25" s="138"/>
      <c r="F25" s="138"/>
      <c r="G25" s="14" t="s">
        <v>20</v>
      </c>
    </row>
    <row r="26" spans="1:8" s="4" customFormat="1" ht="14.25" x14ac:dyDescent="0.2">
      <c r="E26" s="1"/>
    </row>
    <row r="27" spans="1:8" s="4" customFormat="1" x14ac:dyDescent="0.25">
      <c r="B27" s="137" t="s">
        <v>21</v>
      </c>
      <c r="C27" s="138"/>
      <c r="D27" s="138"/>
      <c r="E27" s="138"/>
      <c r="F27" s="138"/>
      <c r="G27" s="14" t="s">
        <v>20</v>
      </c>
    </row>
    <row r="28" spans="1:8" s="4" customFormat="1" ht="15" customHeight="1" x14ac:dyDescent="0.25">
      <c r="B28" s="17"/>
      <c r="C28" s="17"/>
      <c r="D28" s="17"/>
      <c r="E28" s="17"/>
      <c r="F28" s="17"/>
      <c r="G28" s="17"/>
      <c r="H28" s="17"/>
    </row>
    <row r="29" spans="1:8" s="4" customFormat="1" ht="15" hidden="1" customHeight="1" x14ac:dyDescent="0.25">
      <c r="B29" s="17"/>
      <c r="C29" s="17"/>
      <c r="D29" s="17"/>
      <c r="E29" s="17"/>
      <c r="F29" s="17"/>
      <c r="G29" s="17"/>
      <c r="H29" s="17"/>
    </row>
    <row r="30" spans="1:8" s="4" customFormat="1" ht="15" hidden="1" customHeight="1" x14ac:dyDescent="0.25">
      <c r="B30" s="17"/>
      <c r="C30" s="17"/>
      <c r="D30" s="17"/>
      <c r="E30" s="17"/>
      <c r="F30" s="17"/>
      <c r="G30" s="17"/>
      <c r="H30" s="17"/>
    </row>
    <row r="31" spans="1:8" s="4" customFormat="1" ht="15" hidden="1" customHeight="1" x14ac:dyDescent="0.25">
      <c r="B31" s="17"/>
      <c r="C31" s="17"/>
      <c r="D31" s="17"/>
      <c r="E31" s="17"/>
      <c r="F31" s="17"/>
      <c r="G31" s="17"/>
      <c r="H31" s="17"/>
    </row>
    <row r="32" spans="1:8" s="4" customFormat="1" ht="14.25" hidden="1" customHeight="1" x14ac:dyDescent="0.25">
      <c r="B32" s="17"/>
      <c r="C32" s="17"/>
      <c r="D32" s="17"/>
      <c r="E32" s="17"/>
      <c r="F32" s="17"/>
      <c r="G32" s="17"/>
      <c r="H32" s="17"/>
    </row>
    <row r="33" spans="1:23" s="4" customFormat="1" ht="14.25" hidden="1" customHeight="1" x14ac:dyDescent="0.25">
      <c r="B33" s="17"/>
      <c r="C33" s="17"/>
      <c r="D33" s="17"/>
      <c r="E33" s="17"/>
      <c r="F33" s="17"/>
      <c r="G33" s="17"/>
      <c r="H33" s="17"/>
    </row>
    <row r="34" spans="1:23" s="4" customFormat="1" ht="14.25" hidden="1" customHeight="1" x14ac:dyDescent="0.25">
      <c r="B34" s="17"/>
      <c r="C34" s="17"/>
      <c r="D34" s="17"/>
      <c r="E34" s="17"/>
      <c r="F34" s="17"/>
      <c r="G34" s="17"/>
      <c r="H34" s="17"/>
    </row>
    <row r="35" spans="1:23" s="4" customFormat="1" ht="14.25" hidden="1" customHeight="1" x14ac:dyDescent="0.25">
      <c r="B35" s="17"/>
      <c r="C35" s="17"/>
      <c r="D35" s="17"/>
      <c r="E35" s="17"/>
      <c r="F35" s="17"/>
      <c r="G35" s="17"/>
      <c r="H35" s="17"/>
    </row>
    <row r="36" spans="1:23" s="4" customFormat="1" ht="14.25" x14ac:dyDescent="0.2"/>
    <row r="37" spans="1:23" s="4" customFormat="1" x14ac:dyDescent="0.25">
      <c r="A37" s="4" t="s">
        <v>22</v>
      </c>
      <c r="B37" s="18" t="s">
        <v>23</v>
      </c>
      <c r="C37" s="12"/>
    </row>
    <row r="38" spans="1:23" s="4" customFormat="1" ht="15.75" thickBot="1" x14ac:dyDescent="0.3">
      <c r="B38" s="79" t="s">
        <v>2</v>
      </c>
      <c r="C38" s="19">
        <v>2019</v>
      </c>
      <c r="D38" s="1"/>
      <c r="E38" s="1"/>
      <c r="F38" s="20"/>
      <c r="G38" s="79"/>
      <c r="H38" s="79"/>
      <c r="I38" s="79"/>
      <c r="J38" s="79"/>
      <c r="K38" s="79"/>
      <c r="N38" s="80"/>
      <c r="O38" s="80"/>
      <c r="P38" s="80"/>
      <c r="Q38" s="80"/>
      <c r="R38" s="80"/>
      <c r="S38" s="80"/>
      <c r="T38" s="80"/>
      <c r="U38" s="80"/>
      <c r="V38" s="80"/>
      <c r="W38" s="80"/>
    </row>
    <row r="39" spans="1:23" s="17" customFormat="1" ht="80.25" customHeight="1" thickBot="1" x14ac:dyDescent="0.3">
      <c r="B39" s="21" t="s">
        <v>24</v>
      </c>
      <c r="C39" s="22" t="s">
        <v>25</v>
      </c>
      <c r="D39" s="23" t="s">
        <v>26</v>
      </c>
      <c r="E39" s="24" t="s">
        <v>27</v>
      </c>
      <c r="F39" s="25" t="s">
        <v>28</v>
      </c>
      <c r="G39" s="26" t="s">
        <v>29</v>
      </c>
      <c r="H39" s="26" t="s">
        <v>30</v>
      </c>
      <c r="I39" s="26" t="s">
        <v>31</v>
      </c>
      <c r="J39" s="26" t="s">
        <v>32</v>
      </c>
      <c r="K39" s="27" t="s">
        <v>33</v>
      </c>
      <c r="N39" s="80"/>
      <c r="O39" s="80"/>
      <c r="P39" s="80"/>
      <c r="Q39" s="80"/>
      <c r="R39" s="80"/>
      <c r="S39" s="80"/>
      <c r="T39" s="80"/>
      <c r="U39" s="80"/>
      <c r="V39" s="80"/>
      <c r="W39" s="80"/>
    </row>
    <row r="40" spans="1:23" s="17" customFormat="1" x14ac:dyDescent="0.25">
      <c r="B40" s="28"/>
      <c r="C40" s="29" t="s">
        <v>34</v>
      </c>
      <c r="D40" s="29" t="s">
        <v>35</v>
      </c>
      <c r="E40" s="30" t="s">
        <v>36</v>
      </c>
      <c r="F40" s="30" t="s">
        <v>37</v>
      </c>
      <c r="G40" s="30" t="s">
        <v>38</v>
      </c>
      <c r="H40" s="31" t="s">
        <v>39</v>
      </c>
      <c r="I40" s="30" t="s">
        <v>40</v>
      </c>
      <c r="J40" s="31" t="s">
        <v>41</v>
      </c>
      <c r="K40" s="32" t="s">
        <v>42</v>
      </c>
      <c r="N40" s="80"/>
      <c r="O40" s="80"/>
      <c r="P40" s="80"/>
      <c r="Q40" s="80"/>
      <c r="R40" s="80"/>
      <c r="S40" s="80"/>
      <c r="T40" s="80"/>
      <c r="U40" s="80"/>
      <c r="V40" s="80"/>
      <c r="W40" s="80"/>
    </row>
    <row r="41" spans="1:23" s="4" customFormat="1" x14ac:dyDescent="0.25">
      <c r="B41" s="33" t="s">
        <v>43</v>
      </c>
      <c r="C41" s="34">
        <v>6979227.5857288577</v>
      </c>
      <c r="D41" s="34"/>
      <c r="E41" s="35"/>
      <c r="F41" s="36">
        <f>C41-D41+E41</f>
        <v>6979227.5857288577</v>
      </c>
      <c r="G41" s="37">
        <f>IF($C$23="1st Estimate",'[4]GA Rates'!B4,IF($C$23="2nd Estimate",'[4]GA Rates'!C4,IF($C$23="Actual",'[4]GA Rates'!D4,0)))</f>
        <v>6.7409999999999998E-2</v>
      </c>
      <c r="H41" s="89">
        <f>F41*G41</f>
        <v>470469.7315539823</v>
      </c>
      <c r="I41" s="37">
        <f>'[4]GA Rates'!D4</f>
        <v>8.0920000000000006E-2</v>
      </c>
      <c r="J41" s="90">
        <f>F41*I41</f>
        <v>564759.09623717924</v>
      </c>
      <c r="K41" s="91">
        <f>J41-H41</f>
        <v>94289.364683196938</v>
      </c>
      <c r="N41" s="80"/>
      <c r="O41" s="80"/>
      <c r="P41" s="80"/>
      <c r="Q41" s="80"/>
      <c r="R41" s="80"/>
      <c r="S41" s="80"/>
      <c r="T41" s="80"/>
      <c r="U41" s="80"/>
      <c r="V41" s="80"/>
      <c r="W41" s="80"/>
    </row>
    <row r="42" spans="1:23" s="4" customFormat="1" x14ac:dyDescent="0.25">
      <c r="B42" s="33" t="s">
        <v>44</v>
      </c>
      <c r="C42" s="34">
        <v>6307415.2731442451</v>
      </c>
      <c r="D42" s="34"/>
      <c r="E42" s="35"/>
      <c r="F42" s="36">
        <f t="shared" ref="F42:F52" si="0">C42-D42+E42</f>
        <v>6307415.2731442451</v>
      </c>
      <c r="G42" s="37">
        <f>IF($C$23="1st Estimate",'[4]GA Rates'!B5,IF($C$23="2nd Estimate",'[4]GA Rates'!C5,IF($C$23="Actual",'[4]GA Rates'!D5,0)))</f>
        <v>9.6569999999999989E-2</v>
      </c>
      <c r="H42" s="89">
        <f t="shared" ref="H42:H52" si="1">F42*G42</f>
        <v>609107.09292753972</v>
      </c>
      <c r="I42" s="37">
        <f>'[4]GA Rates'!D5</f>
        <v>8.8120000000000004E-2</v>
      </c>
      <c r="J42" s="90">
        <f t="shared" ref="J42:J52" si="2">F42*I42</f>
        <v>555809.43386947096</v>
      </c>
      <c r="K42" s="91">
        <f t="shared" ref="K42:K52" si="3">J42-H42</f>
        <v>-53297.659058068763</v>
      </c>
      <c r="N42" s="80"/>
      <c r="O42" s="80"/>
      <c r="P42" s="80"/>
      <c r="Q42" s="80"/>
      <c r="R42" s="80"/>
      <c r="S42" s="80"/>
      <c r="T42" s="80"/>
      <c r="U42" s="80"/>
      <c r="V42" s="80"/>
      <c r="W42" s="80"/>
    </row>
    <row r="43" spans="1:23" s="4" customFormat="1" x14ac:dyDescent="0.25">
      <c r="B43" s="33" t="s">
        <v>45</v>
      </c>
      <c r="C43" s="34">
        <v>6718583.9491312839</v>
      </c>
      <c r="D43" s="34"/>
      <c r="E43" s="35"/>
      <c r="F43" s="36">
        <f t="shared" si="0"/>
        <v>6718583.9491312839</v>
      </c>
      <c r="G43" s="37">
        <f>IF($C$23="1st Estimate",'[4]GA Rates'!B6,IF($C$23="2nd Estimate",'[4]GA Rates'!C6,IF($C$23="Actual",'[4]GA Rates'!D6,0)))</f>
        <v>8.1049999999999997E-2</v>
      </c>
      <c r="H43" s="89">
        <f t="shared" si="1"/>
        <v>544541.22907709051</v>
      </c>
      <c r="I43" s="37">
        <f>'[4]GA Rates'!D6</f>
        <v>8.0409999999999995E-2</v>
      </c>
      <c r="J43" s="90">
        <f t="shared" si="2"/>
        <v>540241.33534964651</v>
      </c>
      <c r="K43" s="91">
        <f t="shared" si="3"/>
        <v>-4299.8937274439959</v>
      </c>
      <c r="N43" s="80"/>
      <c r="O43" s="80"/>
      <c r="P43" s="80"/>
      <c r="Q43" s="80"/>
      <c r="R43" s="80"/>
      <c r="S43" s="80"/>
      <c r="T43" s="80"/>
      <c r="U43" s="80"/>
      <c r="V43" s="80"/>
      <c r="W43" s="80"/>
    </row>
    <row r="44" spans="1:23" s="4" customFormat="1" x14ac:dyDescent="0.25">
      <c r="B44" s="33" t="s">
        <v>46</v>
      </c>
      <c r="C44" s="34">
        <v>6197639.6130392123</v>
      </c>
      <c r="D44" s="34"/>
      <c r="E44" s="35"/>
      <c r="F44" s="36">
        <f t="shared" si="0"/>
        <v>6197639.6130392123</v>
      </c>
      <c r="G44" s="37">
        <f>IF($C$23="1st Estimate",'[4]GA Rates'!B7,IF($C$23="2nd Estimate",'[4]GA Rates'!C7,IF($C$23="Actual",'[4]GA Rates'!D7,0)))</f>
        <v>8.1290000000000001E-2</v>
      </c>
      <c r="H44" s="89">
        <f t="shared" si="1"/>
        <v>503806.12414395757</v>
      </c>
      <c r="I44" s="37">
        <f>'[4]GA Rates'!D7</f>
        <v>0.12333</v>
      </c>
      <c r="J44" s="90">
        <f t="shared" si="2"/>
        <v>764354.89347612602</v>
      </c>
      <c r="K44" s="91">
        <f t="shared" si="3"/>
        <v>260548.76933216845</v>
      </c>
      <c r="N44" s="80"/>
      <c r="O44" s="80"/>
      <c r="P44" s="80"/>
      <c r="Q44" s="80"/>
      <c r="R44" s="80"/>
      <c r="S44" s="80"/>
      <c r="T44" s="80"/>
      <c r="U44" s="80"/>
      <c r="V44" s="80"/>
      <c r="W44" s="80"/>
    </row>
    <row r="45" spans="1:23" s="4" customFormat="1" x14ac:dyDescent="0.25">
      <c r="B45" s="33" t="s">
        <v>47</v>
      </c>
      <c r="C45" s="34">
        <v>6281287.9999447782</v>
      </c>
      <c r="D45" s="34"/>
      <c r="E45" s="35"/>
      <c r="F45" s="36">
        <f t="shared" si="0"/>
        <v>6281287.9999447782</v>
      </c>
      <c r="G45" s="37">
        <f>IF($C$23="1st Estimate",'[4]GA Rates'!B8,IF($C$23="2nd Estimate",'[4]GA Rates'!C8,IF($C$23="Actual",'[4]GA Rates'!D8,0)))</f>
        <v>0.12859999999999999</v>
      </c>
      <c r="H45" s="89">
        <f t="shared" si="1"/>
        <v>807773.63679289841</v>
      </c>
      <c r="I45" s="37">
        <f>'[4]GA Rates'!D8</f>
        <v>0.12604000000000001</v>
      </c>
      <c r="J45" s="90">
        <f t="shared" si="2"/>
        <v>791693.53951303987</v>
      </c>
      <c r="K45" s="91">
        <f t="shared" si="3"/>
        <v>-16080.097279858543</v>
      </c>
      <c r="N45" s="80"/>
      <c r="O45" s="80"/>
      <c r="P45" s="80"/>
      <c r="Q45" s="80"/>
      <c r="R45" s="80"/>
      <c r="S45" s="80"/>
      <c r="T45" s="80"/>
      <c r="U45" s="80"/>
      <c r="V45" s="80"/>
      <c r="W45" s="80"/>
    </row>
    <row r="46" spans="1:23" s="4" customFormat="1" x14ac:dyDescent="0.25">
      <c r="B46" s="33" t="s">
        <v>48</v>
      </c>
      <c r="C46" s="34">
        <v>6015674.0238332935</v>
      </c>
      <c r="D46" s="34"/>
      <c r="E46" s="35"/>
      <c r="F46" s="36">
        <f t="shared" si="0"/>
        <v>6015674.0238332935</v>
      </c>
      <c r="G46" s="37">
        <f>IF($C$23="1st Estimate",'[4]GA Rates'!B9,IF($C$23="2nd Estimate",'[4]GA Rates'!C9,IF($C$23="Actual",'[4]GA Rates'!D9,0)))</f>
        <v>0.12444</v>
      </c>
      <c r="H46" s="89">
        <f t="shared" si="1"/>
        <v>748590.47552581504</v>
      </c>
      <c r="I46" s="37">
        <f>'[4]GA Rates'!D9</f>
        <v>0.13728000000000001</v>
      </c>
      <c r="J46" s="90">
        <f t="shared" si="2"/>
        <v>825831.72999183461</v>
      </c>
      <c r="K46" s="91">
        <f t="shared" si="3"/>
        <v>77241.254466019571</v>
      </c>
      <c r="N46" s="80"/>
      <c r="O46" s="80"/>
      <c r="P46" s="80"/>
      <c r="Q46" s="80"/>
      <c r="R46" s="80"/>
      <c r="S46" s="80"/>
      <c r="T46" s="80"/>
      <c r="U46" s="80"/>
      <c r="V46" s="80"/>
      <c r="W46" s="80"/>
    </row>
    <row r="47" spans="1:23" s="4" customFormat="1" x14ac:dyDescent="0.25">
      <c r="B47" s="33" t="s">
        <v>49</v>
      </c>
      <c r="C47" s="35">
        <v>6120460.0276811607</v>
      </c>
      <c r="D47" s="34"/>
      <c r="E47" s="35"/>
      <c r="F47" s="36">
        <f t="shared" si="0"/>
        <v>6120460.0276811607</v>
      </c>
      <c r="G47" s="37">
        <f>IF($C$23="1st Estimate",'[4]GA Rates'!B10,IF($C$23="2nd Estimate",'[4]GA Rates'!C10,IF($C$23="Actual",'[4]GA Rates'!D10,0)))</f>
        <v>0.13527</v>
      </c>
      <c r="H47" s="89">
        <f t="shared" si="1"/>
        <v>827914.62794443057</v>
      </c>
      <c r="I47" s="37">
        <f>'[4]GA Rates'!D10</f>
        <v>9.6450000000000008E-2</v>
      </c>
      <c r="J47" s="90">
        <f t="shared" si="2"/>
        <v>590318.36966984801</v>
      </c>
      <c r="K47" s="91">
        <f t="shared" si="3"/>
        <v>-237596.25827458256</v>
      </c>
      <c r="N47" s="80"/>
      <c r="O47" s="80"/>
      <c r="P47" s="80"/>
      <c r="Q47" s="80"/>
      <c r="R47" s="80"/>
      <c r="S47" s="80"/>
      <c r="T47" s="80"/>
      <c r="U47" s="80"/>
      <c r="V47" s="80"/>
      <c r="W47" s="80"/>
    </row>
    <row r="48" spans="1:23" s="4" customFormat="1" x14ac:dyDescent="0.25">
      <c r="B48" s="33" t="s">
        <v>50</v>
      </c>
      <c r="C48" s="35">
        <v>5853119.6302161813</v>
      </c>
      <c r="D48" s="34"/>
      <c r="E48" s="35"/>
      <c r="F48" s="36">
        <f t="shared" si="0"/>
        <v>5853119.6302161813</v>
      </c>
      <c r="G48" s="37">
        <f>IF($C$23="1st Estimate",'[4]GA Rates'!B11,IF($C$23="2nd Estimate",'[4]GA Rates'!C11,IF($C$23="Actual",'[4]GA Rates'!D11,0)))</f>
        <v>7.2109999999999994E-2</v>
      </c>
      <c r="H48" s="89">
        <f t="shared" si="1"/>
        <v>422068.45653488877</v>
      </c>
      <c r="I48" s="37">
        <f>'[4]GA Rates'!D11</f>
        <v>0.12606999999999999</v>
      </c>
      <c r="J48" s="90">
        <f t="shared" si="2"/>
        <v>737902.79178135388</v>
      </c>
      <c r="K48" s="91">
        <f t="shared" si="3"/>
        <v>315834.33524646511</v>
      </c>
      <c r="N48" s="80"/>
      <c r="O48" s="80"/>
      <c r="P48" s="80"/>
      <c r="Q48" s="80"/>
      <c r="R48" s="80"/>
      <c r="S48" s="80"/>
      <c r="T48" s="80"/>
      <c r="U48" s="80"/>
      <c r="V48" s="80"/>
      <c r="W48" s="80"/>
    </row>
    <row r="49" spans="2:23" s="4" customFormat="1" x14ac:dyDescent="0.25">
      <c r="B49" s="33" t="s">
        <v>51</v>
      </c>
      <c r="C49" s="35">
        <v>5566023.6295442041</v>
      </c>
      <c r="D49" s="34"/>
      <c r="E49" s="35"/>
      <c r="F49" s="36">
        <f t="shared" si="0"/>
        <v>5566023.6295442041</v>
      </c>
      <c r="G49" s="37">
        <f>IF($C$23="1st Estimate",'[4]GA Rates'!B12,IF($C$23="2nd Estimate",'[4]GA Rates'!C12,IF($C$23="Actual",'[4]GA Rates'!D12,0)))</f>
        <v>0.12934000000000001</v>
      </c>
      <c r="H49" s="89">
        <f t="shared" si="1"/>
        <v>719909.49624524743</v>
      </c>
      <c r="I49" s="37">
        <f>'[4]GA Rates'!D12</f>
        <v>0.12262999999999999</v>
      </c>
      <c r="J49" s="90">
        <f t="shared" si="2"/>
        <v>682561.47769100568</v>
      </c>
      <c r="K49" s="91">
        <f t="shared" si="3"/>
        <v>-37348.018554241746</v>
      </c>
      <c r="N49" s="80"/>
      <c r="O49" s="80"/>
      <c r="P49" s="80"/>
      <c r="Q49" s="80"/>
      <c r="R49" s="80"/>
      <c r="S49" s="80"/>
      <c r="T49" s="80"/>
      <c r="U49" s="80"/>
      <c r="V49" s="80"/>
      <c r="W49" s="80"/>
    </row>
    <row r="50" spans="2:23" s="4" customFormat="1" x14ac:dyDescent="0.25">
      <c r="B50" s="33" t="s">
        <v>52</v>
      </c>
      <c r="C50" s="35">
        <v>5644032.3730996754</v>
      </c>
      <c r="D50" s="34"/>
      <c r="E50" s="35"/>
      <c r="F50" s="36">
        <f t="shared" si="0"/>
        <v>5644032.3730996754</v>
      </c>
      <c r="G50" s="37">
        <f>IF($C$23="1st Estimate",'[4]GA Rates'!B13,IF($C$23="2nd Estimate",'[4]GA Rates'!C13,IF($C$23="Actual",'[4]GA Rates'!D13,0)))</f>
        <v>0.17877999999999999</v>
      </c>
      <c r="H50" s="89">
        <f t="shared" si="1"/>
        <v>1009040.10766276</v>
      </c>
      <c r="I50" s="37">
        <f>'[4]GA Rates'!D13</f>
        <v>0.1368</v>
      </c>
      <c r="J50" s="90">
        <f t="shared" si="2"/>
        <v>772103.62864003563</v>
      </c>
      <c r="K50" s="91">
        <f t="shared" si="3"/>
        <v>-236936.47902272432</v>
      </c>
      <c r="N50" s="80"/>
      <c r="O50" s="80"/>
      <c r="P50" s="80"/>
      <c r="Q50" s="80"/>
      <c r="R50" s="80"/>
      <c r="S50" s="80"/>
      <c r="T50" s="80"/>
      <c r="U50" s="80"/>
      <c r="V50" s="80"/>
      <c r="W50" s="80"/>
    </row>
    <row r="51" spans="2:23" s="4" customFormat="1" x14ac:dyDescent="0.25">
      <c r="B51" s="33" t="s">
        <v>53</v>
      </c>
      <c r="C51" s="35">
        <v>5676789.1128399372</v>
      </c>
      <c r="D51" s="34"/>
      <c r="E51" s="35"/>
      <c r="F51" s="36">
        <f t="shared" si="0"/>
        <v>5676789.1128399372</v>
      </c>
      <c r="G51" s="37">
        <f>IF($C$23="1st Estimate",'[4]GA Rates'!B14,IF($C$23="2nd Estimate",'[4]GA Rates'!C14,IF($C$23="Actual",'[4]GA Rates'!D14,0)))</f>
        <v>0.10726999999999999</v>
      </c>
      <c r="H51" s="89">
        <f t="shared" si="1"/>
        <v>608949.16813433997</v>
      </c>
      <c r="I51" s="37">
        <f>'[4]GA Rates'!D14</f>
        <v>9.9530000000000007E-2</v>
      </c>
      <c r="J51" s="90">
        <f t="shared" si="2"/>
        <v>565010.820400959</v>
      </c>
      <c r="K51" s="91">
        <f t="shared" si="3"/>
        <v>-43938.347733380971</v>
      </c>
      <c r="N51" s="80"/>
      <c r="O51" s="80"/>
      <c r="P51" s="80"/>
      <c r="Q51" s="80"/>
      <c r="R51" s="80"/>
      <c r="S51" s="80"/>
      <c r="T51" s="80"/>
      <c r="U51" s="80"/>
      <c r="V51" s="80"/>
      <c r="W51" s="80"/>
    </row>
    <row r="52" spans="2:23" s="4" customFormat="1" x14ac:dyDescent="0.25">
      <c r="B52" s="33" t="s">
        <v>54</v>
      </c>
      <c r="C52" s="41">
        <v>6018328.0919576585</v>
      </c>
      <c r="D52" s="34"/>
      <c r="E52" s="35"/>
      <c r="F52" s="36">
        <f t="shared" si="0"/>
        <v>6018328.0919576585</v>
      </c>
      <c r="G52" s="37">
        <f>IF($C$23="1st Estimate",'[4]GA Rates'!B15,IF($C$23="2nd Estimate",'[4]GA Rates'!C15,IF($C$23="Actual",'[4]GA Rates'!D15,0)))</f>
        <v>8.5690000000000002E-2</v>
      </c>
      <c r="H52" s="89">
        <f t="shared" si="1"/>
        <v>515710.5341998518</v>
      </c>
      <c r="I52" s="37">
        <f>'[4]GA Rates'!D15</f>
        <v>9.3209999999999987E-2</v>
      </c>
      <c r="J52" s="90">
        <f t="shared" si="2"/>
        <v>560968.36145137332</v>
      </c>
      <c r="K52" s="91">
        <f t="shared" si="3"/>
        <v>45257.827251521521</v>
      </c>
      <c r="N52" s="80"/>
      <c r="O52" s="80"/>
      <c r="P52" s="80"/>
      <c r="Q52" s="80"/>
      <c r="R52" s="80"/>
      <c r="S52" s="80"/>
      <c r="T52" s="80"/>
      <c r="U52" s="80"/>
      <c r="V52" s="80"/>
      <c r="W52" s="80"/>
    </row>
    <row r="53" spans="2:23" s="4" customFormat="1" ht="30.75" thickBot="1" x14ac:dyDescent="0.3">
      <c r="B53" s="42" t="s">
        <v>55</v>
      </c>
      <c r="C53" s="43">
        <f>SUM(C41:C52)</f>
        <v>73378581.310160488</v>
      </c>
      <c r="D53" s="43">
        <f>SUM(D41:D52)</f>
        <v>0</v>
      </c>
      <c r="E53" s="43">
        <f>SUM(E41:E52)</f>
        <v>0</v>
      </c>
      <c r="F53" s="43">
        <f>SUM(F41:F52)</f>
        <v>73378581.310160488</v>
      </c>
      <c r="G53" s="44"/>
      <c r="H53" s="92">
        <f>SUM(H41:H52)</f>
        <v>7787880.6807428012</v>
      </c>
      <c r="I53" s="44"/>
      <c r="J53" s="92">
        <f>SUM(J41:J52)</f>
        <v>7951555.4780718731</v>
      </c>
      <c r="K53" s="93">
        <f>SUM(K41:K52)</f>
        <v>163674.79732907069</v>
      </c>
      <c r="N53" s="80"/>
      <c r="O53" s="80"/>
      <c r="P53" s="80"/>
      <c r="Q53" s="80"/>
      <c r="R53" s="80"/>
      <c r="S53" s="80"/>
      <c r="T53" s="80"/>
      <c r="U53" s="80"/>
      <c r="V53" s="80"/>
      <c r="W53" s="80"/>
    </row>
    <row r="54" spans="2:23" s="4" customFormat="1" ht="14.25" x14ac:dyDescent="0.2">
      <c r="G54" s="1"/>
      <c r="H54" s="1"/>
      <c r="I54" s="1"/>
      <c r="J54" s="47"/>
      <c r="K54" s="94"/>
      <c r="O54" s="49"/>
      <c r="P54" s="49"/>
      <c r="Q54" s="49"/>
      <c r="R54" s="49"/>
      <c r="S54" s="49"/>
      <c r="T54" s="49"/>
      <c r="U54" s="49"/>
      <c r="V54" s="49"/>
      <c r="W54" s="49"/>
    </row>
    <row r="55" spans="2:23" s="4" customFormat="1" hidden="1" x14ac:dyDescent="0.25">
      <c r="G55" s="1"/>
      <c r="H55" s="80"/>
      <c r="I55" s="80"/>
      <c r="J55" s="80"/>
      <c r="K55" s="80"/>
      <c r="O55" s="49"/>
      <c r="P55" s="49"/>
      <c r="Q55" s="49"/>
      <c r="R55" s="49"/>
      <c r="S55" s="49"/>
      <c r="T55" s="49"/>
      <c r="U55" s="49"/>
      <c r="V55" s="49"/>
      <c r="W55" s="49"/>
    </row>
    <row r="56" spans="2:23" s="4" customFormat="1" hidden="1" x14ac:dyDescent="0.25">
      <c r="G56" s="1"/>
      <c r="H56" s="80"/>
      <c r="I56" s="80"/>
      <c r="J56" s="80"/>
      <c r="K56" s="80"/>
      <c r="O56" s="49"/>
      <c r="P56" s="49"/>
      <c r="Q56" s="49"/>
      <c r="R56" s="49"/>
      <c r="S56" s="49"/>
      <c r="T56" s="49"/>
      <c r="U56" s="49"/>
      <c r="V56" s="49"/>
      <c r="W56" s="49"/>
    </row>
    <row r="57" spans="2:23" s="4" customFormat="1" hidden="1" x14ac:dyDescent="0.25">
      <c r="G57" s="1"/>
      <c r="H57" s="80"/>
      <c r="I57" s="80"/>
      <c r="J57" s="80"/>
      <c r="K57" s="80"/>
      <c r="O57" s="49"/>
      <c r="P57" s="49"/>
      <c r="Q57" s="49"/>
      <c r="R57" s="49"/>
      <c r="S57" s="49"/>
      <c r="T57" s="49"/>
      <c r="U57" s="49"/>
      <c r="V57" s="49"/>
      <c r="W57" s="49"/>
    </row>
    <row r="58" spans="2:23" s="4" customFormat="1" hidden="1" x14ac:dyDescent="0.25">
      <c r="G58" s="1"/>
      <c r="H58" s="132"/>
      <c r="I58" s="132"/>
      <c r="J58" s="132"/>
      <c r="K58" s="95"/>
      <c r="O58" s="49"/>
      <c r="P58" s="49"/>
      <c r="Q58" s="49"/>
      <c r="R58" s="49"/>
      <c r="S58" s="49"/>
      <c r="T58" s="49"/>
      <c r="U58" s="49"/>
      <c r="V58" s="49"/>
      <c r="W58" s="49"/>
    </row>
    <row r="59" spans="2:23" s="4" customFormat="1" x14ac:dyDescent="0.25">
      <c r="H59" s="143" t="s">
        <v>56</v>
      </c>
      <c r="I59" s="143"/>
      <c r="J59" s="143"/>
      <c r="K59" s="51">
        <f>IFERROR(F53/D18,0)</f>
        <v>1.0481782223801035</v>
      </c>
      <c r="O59" s="49"/>
      <c r="P59" s="49"/>
      <c r="Q59" s="49"/>
      <c r="R59" s="49"/>
      <c r="S59" s="49"/>
      <c r="T59" s="49"/>
      <c r="U59" s="49"/>
      <c r="V59" s="49"/>
      <c r="W59" s="49"/>
    </row>
    <row r="60" spans="2:23" s="4" customFormat="1" ht="29.25" customHeight="1" x14ac:dyDescent="0.25">
      <c r="H60" s="143" t="s">
        <v>57</v>
      </c>
      <c r="I60" s="143"/>
      <c r="J60" s="143"/>
      <c r="K60" s="52">
        <v>1.0481</v>
      </c>
      <c r="O60" s="49"/>
      <c r="P60" s="49"/>
      <c r="Q60" s="49"/>
      <c r="R60" s="49"/>
      <c r="S60" s="49"/>
      <c r="T60" s="49"/>
      <c r="U60" s="49"/>
      <c r="V60" s="49"/>
      <c r="W60" s="49"/>
    </row>
    <row r="61" spans="2:23" s="4" customFormat="1" x14ac:dyDescent="0.25">
      <c r="H61" s="143" t="s">
        <v>58</v>
      </c>
      <c r="I61" s="143"/>
      <c r="J61" s="143"/>
      <c r="K61" s="51">
        <f>K59-K60</f>
        <v>7.8222380103465383E-5</v>
      </c>
      <c r="O61" s="49"/>
      <c r="P61" s="49"/>
      <c r="Q61" s="49"/>
      <c r="R61" s="49"/>
      <c r="S61" s="49"/>
      <c r="T61" s="49"/>
      <c r="U61" s="49"/>
      <c r="V61" s="49"/>
      <c r="W61" s="49"/>
    </row>
    <row r="62" spans="2:23" s="4" customFormat="1" ht="15.75" thickBot="1" x14ac:dyDescent="0.3">
      <c r="B62" s="79" t="s">
        <v>59</v>
      </c>
      <c r="H62" s="81"/>
      <c r="I62" s="81"/>
      <c r="J62" s="81"/>
      <c r="K62" s="51"/>
      <c r="O62" s="49"/>
      <c r="P62" s="49"/>
      <c r="Q62" s="49"/>
      <c r="R62" s="49"/>
      <c r="S62" s="49"/>
      <c r="T62" s="49"/>
      <c r="U62" s="49"/>
      <c r="V62" s="49"/>
      <c r="W62" s="49"/>
    </row>
    <row r="63" spans="2:23" s="4" customFormat="1" ht="15.75" thickBot="1" x14ac:dyDescent="0.3">
      <c r="B63" s="144" t="s">
        <v>60</v>
      </c>
      <c r="C63" s="145"/>
      <c r="D63" s="146"/>
      <c r="F63" s="79" t="s">
        <v>61</v>
      </c>
      <c r="H63" s="81"/>
      <c r="I63" s="81"/>
      <c r="J63" s="81"/>
      <c r="K63" s="51"/>
      <c r="O63" s="49"/>
      <c r="P63" s="49"/>
      <c r="Q63" s="49"/>
      <c r="R63" s="49"/>
      <c r="S63" s="49"/>
      <c r="T63" s="49"/>
      <c r="U63" s="49"/>
      <c r="V63" s="49"/>
      <c r="W63" s="49"/>
    </row>
    <row r="64" spans="2:23" s="4" customFormat="1" ht="15" customHeight="1" x14ac:dyDescent="0.2">
      <c r="B64" s="147"/>
      <c r="C64" s="148"/>
      <c r="D64" s="149"/>
      <c r="F64" s="144" t="s">
        <v>123</v>
      </c>
      <c r="G64" s="145"/>
      <c r="H64" s="145"/>
      <c r="I64" s="145"/>
      <c r="J64" s="145"/>
      <c r="K64" s="146"/>
      <c r="O64" s="49"/>
      <c r="P64" s="49"/>
      <c r="Q64" s="49"/>
      <c r="R64" s="49"/>
      <c r="S64" s="49"/>
      <c r="T64" s="49"/>
      <c r="U64" s="49"/>
      <c r="V64" s="49"/>
      <c r="W64" s="49"/>
    </row>
    <row r="65" spans="1:23" s="4" customFormat="1" ht="15" customHeight="1" x14ac:dyDescent="0.2">
      <c r="B65" s="147"/>
      <c r="C65" s="148"/>
      <c r="D65" s="149"/>
      <c r="F65" s="147"/>
      <c r="G65" s="148"/>
      <c r="H65" s="148"/>
      <c r="I65" s="148"/>
      <c r="J65" s="148"/>
      <c r="K65" s="149"/>
      <c r="O65" s="49"/>
      <c r="P65" s="49"/>
      <c r="Q65" s="49"/>
      <c r="R65" s="49"/>
      <c r="S65" s="49"/>
      <c r="T65" s="49"/>
      <c r="U65" s="49"/>
      <c r="V65" s="49"/>
      <c r="W65" s="49"/>
    </row>
    <row r="66" spans="1:23" s="4" customFormat="1" ht="15" customHeight="1" x14ac:dyDescent="0.2">
      <c r="B66" s="147"/>
      <c r="C66" s="148"/>
      <c r="D66" s="149"/>
      <c r="F66" s="147"/>
      <c r="G66" s="148"/>
      <c r="H66" s="148"/>
      <c r="I66" s="148"/>
      <c r="J66" s="148"/>
      <c r="K66" s="149"/>
      <c r="O66" s="49"/>
      <c r="P66" s="49"/>
      <c r="Q66" s="49"/>
      <c r="R66" s="49"/>
      <c r="S66" s="49"/>
      <c r="T66" s="49"/>
      <c r="U66" s="49"/>
      <c r="V66" s="49"/>
      <c r="W66" s="49"/>
    </row>
    <row r="67" spans="1:23" s="4" customFormat="1" ht="15" customHeight="1" x14ac:dyDescent="0.2">
      <c r="B67" s="147"/>
      <c r="C67" s="148"/>
      <c r="D67" s="149"/>
      <c r="F67" s="147"/>
      <c r="G67" s="148"/>
      <c r="H67" s="148"/>
      <c r="I67" s="148"/>
      <c r="J67" s="148"/>
      <c r="K67" s="149"/>
      <c r="O67" s="49"/>
      <c r="P67" s="49"/>
      <c r="Q67" s="49"/>
      <c r="R67" s="49"/>
      <c r="S67" s="49"/>
      <c r="T67" s="49"/>
      <c r="U67" s="49"/>
      <c r="V67" s="49"/>
      <c r="W67" s="49"/>
    </row>
    <row r="68" spans="1:23" s="4" customFormat="1" ht="15" customHeight="1" x14ac:dyDescent="0.2">
      <c r="B68" s="147"/>
      <c r="C68" s="148"/>
      <c r="D68" s="149"/>
      <c r="F68" s="147"/>
      <c r="G68" s="148"/>
      <c r="H68" s="148"/>
      <c r="I68" s="148"/>
      <c r="J68" s="148"/>
      <c r="K68" s="149"/>
      <c r="O68" s="49"/>
      <c r="P68" s="49"/>
      <c r="Q68" s="49"/>
      <c r="R68" s="49"/>
      <c r="S68" s="49"/>
      <c r="T68" s="49"/>
      <c r="U68" s="49"/>
      <c r="V68" s="49"/>
      <c r="W68" s="49"/>
    </row>
    <row r="69" spans="1:23" s="4" customFormat="1" ht="15" customHeight="1" thickBot="1" x14ac:dyDescent="0.25">
      <c r="B69" s="150"/>
      <c r="C69" s="151"/>
      <c r="D69" s="152"/>
      <c r="F69" s="150"/>
      <c r="G69" s="151"/>
      <c r="H69" s="151"/>
      <c r="I69" s="151"/>
      <c r="J69" s="151"/>
      <c r="K69" s="152"/>
      <c r="O69" s="49"/>
      <c r="P69" s="49"/>
      <c r="Q69" s="49"/>
      <c r="R69" s="49"/>
      <c r="S69" s="49"/>
      <c r="T69" s="49"/>
      <c r="U69" s="49"/>
      <c r="V69" s="49"/>
      <c r="W69" s="49"/>
    </row>
    <row r="70" spans="1:23" s="4" customFormat="1" ht="28.35" customHeight="1" x14ac:dyDescent="0.25">
      <c r="A70" s="4" t="s">
        <v>62</v>
      </c>
      <c r="B70" s="18" t="s">
        <v>63</v>
      </c>
      <c r="C70" s="79"/>
      <c r="K70" s="54"/>
      <c r="O70" s="49"/>
      <c r="P70" s="49"/>
      <c r="Q70" s="49"/>
      <c r="R70" s="49"/>
      <c r="S70" s="49"/>
      <c r="T70" s="49"/>
      <c r="U70" s="49"/>
      <c r="V70" s="49"/>
      <c r="W70" s="49"/>
    </row>
    <row r="71" spans="1:23" s="4" customFormat="1" x14ac:dyDescent="0.25">
      <c r="B71" s="12"/>
      <c r="C71" s="79"/>
      <c r="K71" s="55"/>
    </row>
    <row r="72" spans="1:23" s="4" customFormat="1" ht="15" customHeight="1" x14ac:dyDescent="0.25">
      <c r="A72" s="56"/>
      <c r="B72" s="57" t="s">
        <v>64</v>
      </c>
      <c r="C72" s="58" t="s">
        <v>65</v>
      </c>
      <c r="D72" s="153" t="s">
        <v>66</v>
      </c>
      <c r="E72" s="153"/>
      <c r="F72" s="153"/>
      <c r="G72" s="153"/>
      <c r="H72" s="153"/>
      <c r="I72" s="154" t="s">
        <v>67</v>
      </c>
      <c r="J72" s="154"/>
      <c r="K72" s="154"/>
    </row>
    <row r="73" spans="1:23" s="4" customFormat="1" ht="42" customHeight="1" x14ac:dyDescent="0.25">
      <c r="A73" s="155" t="s">
        <v>68</v>
      </c>
      <c r="B73" s="156"/>
      <c r="C73" s="59">
        <f>-403313.53+709274.09</f>
        <v>305960.55999999994</v>
      </c>
      <c r="D73" s="166"/>
      <c r="E73" s="158"/>
      <c r="F73" s="158"/>
      <c r="G73" s="158"/>
      <c r="H73" s="159"/>
      <c r="I73" s="101" t="s">
        <v>69</v>
      </c>
      <c r="J73" s="160" t="s">
        <v>70</v>
      </c>
      <c r="K73" s="160"/>
    </row>
    <row r="74" spans="1:23" s="4" customFormat="1" ht="28.5" x14ac:dyDescent="0.2">
      <c r="A74" s="62" t="s">
        <v>71</v>
      </c>
      <c r="B74" s="63" t="s">
        <v>72</v>
      </c>
      <c r="C74" s="59"/>
      <c r="D74" s="161"/>
      <c r="E74" s="161"/>
      <c r="F74" s="161"/>
      <c r="G74" s="161"/>
      <c r="H74" s="161"/>
      <c r="I74" s="14"/>
      <c r="J74" s="165"/>
      <c r="K74" s="165"/>
    </row>
    <row r="75" spans="1:23" s="4" customFormat="1" ht="27.95" customHeight="1" x14ac:dyDescent="0.2">
      <c r="A75" s="62" t="s">
        <v>73</v>
      </c>
      <c r="B75" s="63" t="s">
        <v>74</v>
      </c>
      <c r="C75" s="59">
        <v>-87051.88</v>
      </c>
      <c r="D75" s="139" t="s">
        <v>102</v>
      </c>
      <c r="E75" s="140"/>
      <c r="F75" s="140"/>
      <c r="G75" s="140"/>
      <c r="H75" s="141"/>
      <c r="I75" s="14" t="s">
        <v>20</v>
      </c>
      <c r="J75" s="165"/>
      <c r="K75" s="165"/>
      <c r="L75" s="1"/>
      <c r="M75" s="1"/>
      <c r="N75" s="1"/>
      <c r="O75" s="1"/>
    </row>
    <row r="76" spans="1:23" s="4" customFormat="1" ht="28.5" x14ac:dyDescent="0.2">
      <c r="A76" s="62" t="s">
        <v>75</v>
      </c>
      <c r="B76" s="63" t="s">
        <v>76</v>
      </c>
      <c r="C76" s="59"/>
      <c r="D76" s="139"/>
      <c r="E76" s="140"/>
      <c r="F76" s="140"/>
      <c r="G76" s="140"/>
      <c r="H76" s="141"/>
      <c r="I76" s="14"/>
      <c r="J76" s="165"/>
      <c r="K76" s="165"/>
      <c r="L76" s="1"/>
      <c r="M76" s="1"/>
      <c r="N76" s="1"/>
      <c r="O76" s="1"/>
    </row>
    <row r="77" spans="1:23" s="4" customFormat="1" ht="28.5" x14ac:dyDescent="0.2">
      <c r="A77" s="62" t="s">
        <v>77</v>
      </c>
      <c r="B77" s="63" t="s">
        <v>78</v>
      </c>
      <c r="C77" s="59"/>
      <c r="D77" s="139"/>
      <c r="E77" s="140"/>
      <c r="F77" s="140"/>
      <c r="G77" s="140"/>
      <c r="H77" s="141"/>
      <c r="I77" s="14"/>
      <c r="J77" s="165"/>
      <c r="K77" s="165"/>
      <c r="L77" s="1"/>
      <c r="M77" s="1"/>
      <c r="N77" s="1"/>
      <c r="O77" s="1"/>
    </row>
    <row r="78" spans="1:23" s="4" customFormat="1" ht="14.1" hidden="1" customHeight="1" x14ac:dyDescent="0.2">
      <c r="A78" s="62"/>
      <c r="B78" s="63"/>
      <c r="C78" s="59"/>
      <c r="D78" s="161"/>
      <c r="E78" s="161"/>
      <c r="F78" s="161"/>
      <c r="G78" s="161"/>
      <c r="H78" s="161"/>
      <c r="I78" s="14"/>
      <c r="J78" s="165"/>
      <c r="K78" s="165"/>
      <c r="L78" s="1"/>
      <c r="M78" s="1"/>
      <c r="N78" s="1"/>
      <c r="O78" s="1"/>
    </row>
    <row r="79" spans="1:23" s="4" customFormat="1" ht="28.5" x14ac:dyDescent="0.2">
      <c r="A79" s="62" t="s">
        <v>79</v>
      </c>
      <c r="B79" s="63" t="s">
        <v>95</v>
      </c>
      <c r="C79" s="59"/>
      <c r="D79" s="161"/>
      <c r="E79" s="161"/>
      <c r="F79" s="161"/>
      <c r="G79" s="161"/>
      <c r="H79" s="161"/>
      <c r="I79" s="14"/>
      <c r="J79" s="165"/>
      <c r="K79" s="165"/>
      <c r="L79" s="1"/>
      <c r="M79" s="1"/>
      <c r="N79" s="1"/>
      <c r="O79" s="1"/>
    </row>
    <row r="80" spans="1:23" s="4" customFormat="1" ht="33.75" customHeight="1" x14ac:dyDescent="0.2">
      <c r="A80" s="62" t="s">
        <v>81</v>
      </c>
      <c r="B80" s="63" t="s">
        <v>96</v>
      </c>
      <c r="C80" s="59"/>
      <c r="D80" s="161"/>
      <c r="E80" s="161"/>
      <c r="F80" s="161"/>
      <c r="G80" s="161"/>
      <c r="H80" s="161"/>
      <c r="I80" s="14"/>
      <c r="J80" s="165"/>
      <c r="K80" s="165"/>
      <c r="L80" s="1"/>
      <c r="M80" s="1"/>
      <c r="N80" s="1"/>
      <c r="O80" s="1"/>
    </row>
    <row r="81" spans="1:15" s="4" customFormat="1" ht="28.5" x14ac:dyDescent="0.2">
      <c r="A81" s="62">
        <v>3</v>
      </c>
      <c r="B81" s="63" t="s">
        <v>84</v>
      </c>
      <c r="C81" s="59"/>
      <c r="D81" s="161"/>
      <c r="E81" s="161"/>
      <c r="F81" s="161"/>
      <c r="G81" s="161"/>
      <c r="H81" s="161"/>
      <c r="I81" s="14"/>
      <c r="J81" s="165"/>
      <c r="K81" s="165"/>
      <c r="L81" s="1"/>
      <c r="M81" s="1"/>
      <c r="N81" s="1"/>
      <c r="O81" s="1"/>
    </row>
    <row r="82" spans="1:15" s="4" customFormat="1" ht="14.25" x14ac:dyDescent="0.2">
      <c r="A82" s="64">
        <v>4</v>
      </c>
      <c r="B82" s="66" t="s">
        <v>86</v>
      </c>
      <c r="C82" s="59"/>
      <c r="D82" s="161"/>
      <c r="E82" s="161"/>
      <c r="F82" s="161"/>
      <c r="G82" s="161"/>
      <c r="H82" s="161"/>
      <c r="I82" s="14"/>
      <c r="J82" s="165"/>
      <c r="K82" s="165"/>
    </row>
    <row r="83" spans="1:15" s="4" customFormat="1" ht="14.25" x14ac:dyDescent="0.2">
      <c r="A83" s="64">
        <v>5</v>
      </c>
      <c r="B83" s="66" t="s">
        <v>97</v>
      </c>
      <c r="C83" s="59"/>
      <c r="D83" s="161"/>
      <c r="E83" s="161"/>
      <c r="F83" s="161"/>
      <c r="G83" s="161"/>
      <c r="H83" s="161"/>
      <c r="I83" s="14"/>
      <c r="J83" s="165"/>
      <c r="K83" s="165"/>
    </row>
    <row r="84" spans="1:15" s="4" customFormat="1" ht="14.25" x14ac:dyDescent="0.2">
      <c r="A84" s="64">
        <v>6</v>
      </c>
      <c r="B84" s="66" t="s">
        <v>87</v>
      </c>
      <c r="C84" s="59"/>
      <c r="D84" s="161"/>
      <c r="E84" s="161"/>
      <c r="F84" s="161"/>
      <c r="G84" s="161"/>
      <c r="H84" s="161"/>
      <c r="I84" s="14"/>
      <c r="J84" s="165"/>
      <c r="K84" s="165"/>
    </row>
    <row r="85" spans="1:15" s="4" customFormat="1" ht="14.1" customHeight="1" x14ac:dyDescent="0.2">
      <c r="A85" s="64">
        <v>7</v>
      </c>
      <c r="B85" s="67" t="s">
        <v>107</v>
      </c>
      <c r="C85" s="59">
        <v>20195.669999999998</v>
      </c>
      <c r="D85" s="139" t="s">
        <v>109</v>
      </c>
      <c r="E85" s="140"/>
      <c r="F85" s="140"/>
      <c r="G85" s="140"/>
      <c r="H85" s="141"/>
      <c r="I85" s="14" t="s">
        <v>20</v>
      </c>
      <c r="J85" s="165"/>
      <c r="K85" s="165"/>
    </row>
    <row r="86" spans="1:15" s="4" customFormat="1" ht="14.1" customHeight="1" x14ac:dyDescent="0.2">
      <c r="A86" s="64">
        <v>8</v>
      </c>
      <c r="B86" s="67" t="s">
        <v>108</v>
      </c>
      <c r="C86" s="59">
        <v>-43188.13</v>
      </c>
      <c r="D86" s="161" t="s">
        <v>120</v>
      </c>
      <c r="E86" s="161"/>
      <c r="F86" s="161"/>
      <c r="G86" s="161"/>
      <c r="H86" s="161"/>
      <c r="I86" s="14" t="s">
        <v>20</v>
      </c>
      <c r="J86" s="165"/>
      <c r="K86" s="165"/>
    </row>
    <row r="87" spans="1:15" s="4" customFormat="1" ht="14.25" x14ac:dyDescent="0.2">
      <c r="A87" s="64">
        <v>9</v>
      </c>
      <c r="B87" s="67"/>
      <c r="C87" s="59"/>
      <c r="D87" s="139"/>
      <c r="E87" s="140"/>
      <c r="F87" s="140"/>
      <c r="G87" s="140"/>
      <c r="H87" s="141"/>
      <c r="I87" s="14"/>
      <c r="J87" s="165"/>
      <c r="K87" s="165"/>
    </row>
    <row r="88" spans="1:15" s="4" customFormat="1" ht="14.25" x14ac:dyDescent="0.2">
      <c r="A88" s="64">
        <v>10</v>
      </c>
      <c r="B88" s="67"/>
      <c r="C88" s="59"/>
      <c r="D88" s="161"/>
      <c r="E88" s="161"/>
      <c r="F88" s="161"/>
      <c r="G88" s="161"/>
      <c r="H88" s="161"/>
      <c r="I88" s="14"/>
      <c r="J88" s="165"/>
      <c r="K88" s="165"/>
    </row>
    <row r="89" spans="1:15" s="4" customFormat="1" x14ac:dyDescent="0.2">
      <c r="A89" s="68"/>
      <c r="B89" s="68"/>
      <c r="C89" s="68"/>
      <c r="D89" s="68"/>
      <c r="E89" s="68"/>
      <c r="F89" s="68"/>
      <c r="G89" s="68"/>
      <c r="H89" s="162"/>
      <c r="I89" s="162"/>
      <c r="J89" s="162"/>
      <c r="K89" s="96"/>
    </row>
    <row r="90" spans="1:15" s="4" customFormat="1" ht="30" x14ac:dyDescent="0.25">
      <c r="A90" s="4" t="s">
        <v>88</v>
      </c>
      <c r="B90" s="17" t="s">
        <v>89</v>
      </c>
      <c r="C90" s="97">
        <f>SUM(C73:C88)</f>
        <v>195916.21999999991</v>
      </c>
      <c r="D90" s="98"/>
      <c r="E90" s="98"/>
      <c r="F90" s="98"/>
      <c r="G90" s="98"/>
    </row>
    <row r="91" spans="1:15" s="4" customFormat="1" ht="30" x14ac:dyDescent="0.25">
      <c r="B91" s="72" t="s">
        <v>90</v>
      </c>
      <c r="C91" s="99">
        <f>K53</f>
        <v>163674.79732907069</v>
      </c>
      <c r="D91" s="98"/>
      <c r="E91" s="98"/>
      <c r="F91" s="98"/>
      <c r="G91" s="98"/>
    </row>
    <row r="92" spans="1:15" s="4" customFormat="1" x14ac:dyDescent="0.25">
      <c r="B92" s="72" t="s">
        <v>91</v>
      </c>
      <c r="C92" s="96">
        <f>C90-C91</f>
        <v>32241.422670929227</v>
      </c>
    </row>
    <row r="93" spans="1:15" s="4" customFormat="1" ht="30.75" thickBot="1" x14ac:dyDescent="0.3">
      <c r="B93" s="72" t="s">
        <v>92</v>
      </c>
      <c r="C93" s="74">
        <f>IF(ISERROR(C92/J53),0,C92/J53)</f>
        <v>4.0547315251515123E-3</v>
      </c>
      <c r="D93" s="75" t="str">
        <f>IF(AND(C93&lt;0.01,C93&gt;-0.01),"","Unresolved differences of greater than + or - 1% should be explained")</f>
        <v/>
      </c>
      <c r="F93" s="1"/>
    </row>
    <row r="94" spans="1:15" s="4" customFormat="1" ht="15.75" thickTop="1" x14ac:dyDescent="0.25">
      <c r="B94" s="79"/>
      <c r="C94" s="100"/>
      <c r="D94" s="77"/>
      <c r="G94" s="1"/>
    </row>
    <row r="95" spans="1:15" s="4" customFormat="1" x14ac:dyDescent="0.25">
      <c r="B95" s="79"/>
      <c r="C95" s="100"/>
      <c r="D95" s="78"/>
    </row>
    <row r="96" spans="1:15" s="4" customFormat="1" ht="14.25" x14ac:dyDescent="0.2"/>
    <row r="97" spans="2:3" x14ac:dyDescent="0.25">
      <c r="B97" s="4"/>
      <c r="C97" s="104"/>
    </row>
  </sheetData>
  <mergeCells count="47">
    <mergeCell ref="H58:J58"/>
    <mergeCell ref="B13:C13"/>
    <mergeCell ref="E13:F13"/>
    <mergeCell ref="B19:H19"/>
    <mergeCell ref="B25:F25"/>
    <mergeCell ref="B27:F27"/>
    <mergeCell ref="D75:H75"/>
    <mergeCell ref="J75:K75"/>
    <mergeCell ref="H59:J59"/>
    <mergeCell ref="H60:J60"/>
    <mergeCell ref="H61:J61"/>
    <mergeCell ref="B63:D69"/>
    <mergeCell ref="F64:K69"/>
    <mergeCell ref="D72:H72"/>
    <mergeCell ref="I72:K72"/>
    <mergeCell ref="A73:B73"/>
    <mergeCell ref="D73:H73"/>
    <mergeCell ref="J73:K73"/>
    <mergeCell ref="D74:H74"/>
    <mergeCell ref="J74:K74"/>
    <mergeCell ref="D76:H76"/>
    <mergeCell ref="J76:K76"/>
    <mergeCell ref="D77:H77"/>
    <mergeCell ref="J77:K77"/>
    <mergeCell ref="D78:H78"/>
    <mergeCell ref="J78:K78"/>
    <mergeCell ref="D79:H79"/>
    <mergeCell ref="J79:K79"/>
    <mergeCell ref="D80:H80"/>
    <mergeCell ref="J80:K80"/>
    <mergeCell ref="D81:H81"/>
    <mergeCell ref="J81:K81"/>
    <mergeCell ref="D82:H82"/>
    <mergeCell ref="J82:K82"/>
    <mergeCell ref="D83:H83"/>
    <mergeCell ref="J83:K83"/>
    <mergeCell ref="D84:H84"/>
    <mergeCell ref="J84:K84"/>
    <mergeCell ref="D88:H88"/>
    <mergeCell ref="J88:K88"/>
    <mergeCell ref="H89:J89"/>
    <mergeCell ref="D85:H85"/>
    <mergeCell ref="J85:K85"/>
    <mergeCell ref="D86:H86"/>
    <mergeCell ref="J86:K86"/>
    <mergeCell ref="D87:H87"/>
    <mergeCell ref="J87:K87"/>
  </mergeCells>
  <dataValidations count="2">
    <dataValidation type="list" sqref="C23" xr:uid="{F72ED219-3EDD-492C-93A5-67FEE878EB0B}">
      <formula1>"1st Estimate, 2nd Estimate, Actual"</formula1>
    </dataValidation>
    <dataValidation type="list" allowBlank="1" showInputMessage="1" showErrorMessage="1" sqref="G27 G25 I74:I88" xr:uid="{28733A9F-C5B6-439B-B9D1-2386E87F3803}">
      <formula1>"Yes,No"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Consumption 2017-2019</vt:lpstr>
      <vt:lpstr>2017_class A 4 months</vt:lpstr>
      <vt:lpstr>2017_Class A 6 months</vt:lpstr>
      <vt:lpstr>2018</vt:lpstr>
      <vt:lpstr>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Presseault</dc:creator>
  <cp:lastModifiedBy>Amy Long</cp:lastModifiedBy>
  <dcterms:created xsi:type="dcterms:W3CDTF">2021-01-19T18:03:32Z</dcterms:created>
  <dcterms:modified xsi:type="dcterms:W3CDTF">2021-03-05T21:04:09Z</dcterms:modified>
</cp:coreProperties>
</file>